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tabRatio="601" activeTab="1"/>
  </bookViews>
  <sheets>
    <sheet name="product" sheetId="1" r:id="rId1"/>
    <sheet name="budget" sheetId="2" r:id="rId2"/>
  </sheets>
  <definedNames>
    <definedName name="_xlnm.Print_Area" localSheetId="0">'product'!$A$1:$N$34</definedName>
  </definedNames>
  <calcPr fullCalcOnLoad="1"/>
</workbook>
</file>

<file path=xl/sharedStrings.xml><?xml version="1.0" encoding="utf-8"?>
<sst xmlns="http://schemas.openxmlformats.org/spreadsheetml/2006/main" count="102" uniqueCount="86">
  <si>
    <t>a =</t>
  </si>
  <si>
    <t>b =</t>
  </si>
  <si>
    <t>A =</t>
  </si>
  <si>
    <t>Labour</t>
  </si>
  <si>
    <t>c =</t>
  </si>
  <si>
    <t>capital cost</t>
  </si>
  <si>
    <t>unit price</t>
  </si>
  <si>
    <t>Reference data</t>
  </si>
  <si>
    <t>Q function</t>
  </si>
  <si>
    <t>Final results</t>
  </si>
  <si>
    <t>Item description</t>
  </si>
  <si>
    <t>formulas used</t>
  </si>
  <si>
    <t>Labour productivity</t>
  </si>
  <si>
    <t>Total traffic in minutes</t>
  </si>
  <si>
    <t>Unit cost per line</t>
  </si>
  <si>
    <r>
      <t>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 known capital cost: US $ per year</t>
    </r>
  </si>
  <si>
    <r>
      <t>Exponent of 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variable</t>
    </r>
  </si>
  <si>
    <r>
      <t>a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calculated as: 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/C</t>
    </r>
    <r>
      <rPr>
        <vertAlign val="subscript"/>
        <sz val="12"/>
        <rFont val="Times New Roman"/>
        <family val="1"/>
      </rPr>
      <t>0</t>
    </r>
  </si>
  <si>
    <r>
      <t>Exponent of X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variable</t>
    </r>
  </si>
  <si>
    <r>
      <t>b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calculated as: 1 - a</t>
    </r>
    <r>
      <rPr>
        <vertAlign val="subscript"/>
        <sz val="12"/>
        <rFont val="Times New Roman"/>
        <family val="1"/>
      </rPr>
      <t>0</t>
    </r>
  </si>
  <si>
    <r>
      <t>Constant of f(X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;X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</si>
  <si>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A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(Q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/C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)*(R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/a)</t>
    </r>
    <r>
      <rPr>
        <vertAlign val="superscript"/>
        <sz val="12"/>
        <rFont val="Times New Roman"/>
        <family val="1"/>
      </rPr>
      <t>a</t>
    </r>
    <r>
      <rPr>
        <sz val="12"/>
        <rFont val="Times New Roman"/>
        <family val="1"/>
      </rPr>
      <t>*(R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/b)</t>
    </r>
    <r>
      <rPr>
        <vertAlign val="superscript"/>
        <sz val="12"/>
        <rFont val="Times New Roman"/>
        <family val="1"/>
      </rPr>
      <t>b</t>
    </r>
  </si>
  <si>
    <t>Estimate of capital and operating cost</t>
  </si>
  <si>
    <t>Number of employees</t>
  </si>
  <si>
    <t>Annual operating cost</t>
  </si>
  <si>
    <r>
      <t>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expected cost: US$/year</t>
    </r>
  </si>
  <si>
    <t>Annual capital cost</t>
  </si>
  <si>
    <r>
      <t>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 expected cost: US $/year</t>
    </r>
  </si>
  <si>
    <t>Total annual expenses</t>
  </si>
  <si>
    <t>Expected total revenue</t>
  </si>
  <si>
    <t>Checking final results</t>
  </si>
  <si>
    <r>
      <t>P = calculated as: Y-C</t>
    </r>
    <r>
      <rPr>
        <vertAlign val="subscript"/>
        <sz val="12"/>
        <rFont val="Times New Roman"/>
        <family val="1"/>
      </rPr>
      <t>0</t>
    </r>
  </si>
  <si>
    <t>Profit/revenue</t>
  </si>
  <si>
    <t>Return = calculated as: P/Y</t>
  </si>
  <si>
    <t>Revenue/employee</t>
  </si>
  <si>
    <r>
      <t>Product = calculated as: (Y-R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)/X</t>
    </r>
    <r>
      <rPr>
        <vertAlign val="subscript"/>
        <sz val="12"/>
        <rFont val="Times New Roman"/>
        <family val="1"/>
      </rPr>
      <t>2</t>
    </r>
  </si>
  <si>
    <t>Efficiency</t>
  </si>
  <si>
    <r>
      <t>Lines/employee = 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/X</t>
    </r>
    <r>
      <rPr>
        <vertAlign val="subscript"/>
        <sz val="12"/>
        <rFont val="Times New Roman"/>
        <family val="1"/>
      </rPr>
      <t>2</t>
    </r>
  </si>
  <si>
    <t>Lines operated</t>
  </si>
  <si>
    <t>Unit consumption</t>
  </si>
  <si>
    <r>
      <t>t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expected annual minutes per line </t>
    </r>
  </si>
  <si>
    <t>Production function</t>
  </si>
  <si>
    <r>
      <t>Q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t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*N</t>
    </r>
    <r>
      <rPr>
        <vertAlign val="subscript"/>
        <sz val="12"/>
        <rFont val="Times New Roman"/>
        <family val="1"/>
      </rPr>
      <t xml:space="preserve">0  </t>
    </r>
    <r>
      <rPr>
        <sz val="12"/>
        <rFont val="Times New Roman"/>
        <family val="1"/>
      </rPr>
      <t>expected total consumption</t>
    </r>
  </si>
  <si>
    <r>
      <t>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expected annual expenses</t>
    </r>
  </si>
  <si>
    <t>product</t>
  </si>
  <si>
    <t>revenue</t>
  </si>
  <si>
    <t>Average</t>
  </si>
  <si>
    <t>Marginal</t>
  </si>
  <si>
    <t>Expected balance</t>
  </si>
  <si>
    <r>
      <t>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operating expenses: US$/employee</t>
    </r>
  </si>
  <si>
    <t>Operating cost/employee</t>
  </si>
  <si>
    <t>operating</t>
  </si>
  <si>
    <t>Unit price per minute</t>
  </si>
  <si>
    <r>
      <t>Product % = (Y-R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)/R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2</t>
    </r>
  </si>
  <si>
    <r>
      <t>Y = calculated as: 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*Q</t>
    </r>
    <r>
      <rPr>
        <vertAlign val="subscript"/>
        <sz val="12"/>
        <rFont val="Times New Roman"/>
        <family val="1"/>
      </rPr>
      <t>0</t>
    </r>
  </si>
  <si>
    <t>Adjusted</t>
  </si>
  <si>
    <t>reference</t>
  </si>
  <si>
    <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 expected lines connected</t>
    </r>
  </si>
  <si>
    <r>
      <t>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unit current market price</t>
    </r>
  </si>
  <si>
    <t>STUDY OF INTRANET BENEFITS: NET PRODUCTIVITY PER EMPLOYEE</t>
  </si>
  <si>
    <t>R =</t>
  </si>
  <si>
    <r>
      <t>X</t>
    </r>
    <r>
      <rPr>
        <b/>
        <vertAlign val="subscript"/>
        <sz val="11"/>
        <rFont val="Times New Roman"/>
        <family val="1"/>
      </rPr>
      <t>2</t>
    </r>
  </si>
  <si>
    <r>
      <t>Productivity Y(X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</si>
  <si>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r>
      <t>X</t>
    </r>
    <r>
      <rPr>
        <b/>
        <vertAlign val="subscript"/>
        <sz val="11"/>
        <rFont val="Times New Roman"/>
        <family val="1"/>
      </rPr>
      <t>10</t>
    </r>
    <r>
      <rPr>
        <sz val="11"/>
        <rFont val="Times New Roman"/>
        <family val="1"/>
      </rPr>
      <t xml:space="preserve"> =</t>
    </r>
  </si>
  <si>
    <r>
      <t>best X</t>
    </r>
    <r>
      <rPr>
        <b/>
        <vertAlign val="subscript"/>
        <sz val="11"/>
        <rFont val="Times New Roman"/>
        <family val="1"/>
      </rPr>
      <t>20</t>
    </r>
  </si>
  <si>
    <r>
      <t>prod X</t>
    </r>
    <r>
      <rPr>
        <b/>
        <vertAlign val="subscript"/>
        <sz val="11"/>
        <rFont val="Times New Roman"/>
        <family val="1"/>
      </rPr>
      <t>20</t>
    </r>
  </si>
  <si>
    <r>
      <t>estim X</t>
    </r>
    <r>
      <rPr>
        <b/>
        <vertAlign val="subscript"/>
        <sz val="11"/>
        <rFont val="Times New Roman"/>
        <family val="1"/>
      </rPr>
      <t>2</t>
    </r>
  </si>
  <si>
    <r>
      <t>X</t>
    </r>
    <r>
      <rPr>
        <b/>
        <vertAlign val="subscript"/>
        <sz val="11"/>
        <rFont val="Times New Roman"/>
        <family val="1"/>
      </rPr>
      <t>1</t>
    </r>
    <r>
      <rPr>
        <b/>
        <sz val="11"/>
        <rFont val="Times New Roman"/>
        <family val="1"/>
      </rPr>
      <t>/X</t>
    </r>
    <r>
      <rPr>
        <b/>
        <vertAlign val="subscript"/>
        <sz val="11"/>
        <rFont val="Times New Roman"/>
        <family val="1"/>
      </rPr>
      <t>20</t>
    </r>
  </si>
  <si>
    <t>Expected</t>
  </si>
  <si>
    <t>IMPACT OF SAVINGS INTO THE LABOUR PRODUCTIVITY</t>
  </si>
  <si>
    <t>INTRANET as source of  internal econonies</t>
  </si>
  <si>
    <t>Intranet benefits</t>
  </si>
  <si>
    <t>0,2 * 0,2 * Operating cost</t>
  </si>
  <si>
    <r>
      <t>X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existing number of employees</t>
    </r>
  </si>
  <si>
    <t>Description of</t>
  </si>
  <si>
    <t>budget items</t>
  </si>
  <si>
    <t>Reference</t>
  </si>
  <si>
    <t>budget</t>
  </si>
  <si>
    <t>definitions and formulas uses</t>
  </si>
  <si>
    <t>Basic reference variables:</t>
  </si>
  <si>
    <r>
      <t>excess X</t>
    </r>
    <r>
      <rPr>
        <b/>
        <vertAlign val="subscript"/>
        <sz val="11"/>
        <rFont val="Times New Roman"/>
        <family val="1"/>
      </rPr>
      <t>2</t>
    </r>
  </si>
  <si>
    <t>Reference budget: analysis of labour productivity and theoretical maximum</t>
  </si>
  <si>
    <t xml:space="preserve">intranet </t>
  </si>
  <si>
    <t>Introduce</t>
  </si>
  <si>
    <t>adjust labour</t>
  </si>
  <si>
    <t>Intranet +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</si>
</sst>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0"/>
    <numFmt numFmtId="165" formatCode="0.000"/>
    <numFmt numFmtId="166" formatCode="0.0000"/>
    <numFmt numFmtId="167" formatCode="0.0000000"/>
    <numFmt numFmtId="168" formatCode="0.00000000000000000"/>
    <numFmt numFmtId="169" formatCode="0.E+00"/>
    <numFmt numFmtId="170" formatCode="0.000000000000"/>
    <numFmt numFmtId="171" formatCode="0.0000000000"/>
    <numFmt numFmtId="172" formatCode="0.00000000000"/>
    <numFmt numFmtId="173" formatCode="0.000E+00"/>
    <numFmt numFmtId="174" formatCode="#,##0.0000"/>
    <numFmt numFmtId="175" formatCode="0.0000E+00"/>
    <numFmt numFmtId="176" formatCode="0.0000%"/>
    <numFmt numFmtId="177" formatCode="#,##0.00000"/>
    <numFmt numFmtId="178" formatCode="#,##0.00000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 Black"/>
      <family val="2"/>
    </font>
    <font>
      <b/>
      <sz val="12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0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175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75" fontId="4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3" fontId="7" fillId="0" borderId="4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73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166" fontId="7" fillId="0" borderId="4" xfId="0" applyNumberFormat="1" applyFont="1" applyBorder="1" applyAlignment="1">
      <alignment/>
    </xf>
    <xf numFmtId="10" fontId="7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E+00"/>
            </c:trendlineLbl>
          </c:trendline>
          <c:xVal>
            <c:numRef>
              <c:f>product!$A$7:$A$34</c:f>
              <c:numCache>
                <c:ptCount val="28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</c:numCache>
            </c:numRef>
          </c:xVal>
          <c:yVal>
            <c:numRef>
              <c:f>product!$D$7:$D$34</c:f>
              <c:numCache>
                <c:ptCount val="28"/>
                <c:pt idx="1">
                  <c:v>14662.828758062951</c:v>
                </c:pt>
                <c:pt idx="2">
                  <c:v>15677.839889633518</c:v>
                </c:pt>
                <c:pt idx="3">
                  <c:v>16439.370216207597</c:v>
                </c:pt>
                <c:pt idx="4">
                  <c:v>17012.491557311747</c:v>
                </c:pt>
                <c:pt idx="5">
                  <c:v>17443.107792830477</c:v>
                </c:pt>
                <c:pt idx="6">
                  <c:v>17764.34426093746</c:v>
                </c:pt>
                <c:pt idx="7">
                  <c:v>18000.57610098374</c:v>
                </c:pt>
                <c:pt idx="8">
                  <c:v>18170.046125287936</c:v>
                </c:pt>
                <c:pt idx="9">
                  <c:v>18286.611481661712</c:v>
                </c:pt>
                <c:pt idx="10">
                  <c:v>18360.936289914087</c:v>
                </c:pt>
                <c:pt idx="11">
                  <c:v>18401.322807988454</c:v>
                </c:pt>
                <c:pt idx="12">
                  <c:v>18414.30133323515</c:v>
                </c:pt>
                <c:pt idx="13">
                  <c:v>18405.055764746154</c:v>
                </c:pt>
                <c:pt idx="14">
                  <c:v>18377.735162083718</c:v>
                </c:pt>
                <c:pt idx="15">
                  <c:v>18335.68490248245</c:v>
                </c:pt>
                <c:pt idx="16">
                  <c:v>18281.62027833848</c:v>
                </c:pt>
                <c:pt idx="26">
                  <c:v>13900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product!$A$7:$A$34</c:f>
              <c:numCache>
                <c:ptCount val="28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</c:numCache>
            </c:numRef>
          </c:xVal>
          <c:yVal>
            <c:numRef>
              <c:f>product!$E$7:$E$33</c:f>
              <c:numCache>
                <c:ptCount val="27"/>
                <c:pt idx="2">
                  <c:v>22239.479999999996</c:v>
                </c:pt>
                <c:pt idx="3">
                  <c:v>22617.979999999996</c:v>
                </c:pt>
                <c:pt idx="4">
                  <c:v>22841.32</c:v>
                </c:pt>
                <c:pt idx="5">
                  <c:v>22909.499999999996</c:v>
                </c:pt>
                <c:pt idx="6">
                  <c:v>22822.519999999997</c:v>
                </c:pt>
                <c:pt idx="7">
                  <c:v>22580.379999999997</c:v>
                </c:pt>
                <c:pt idx="8">
                  <c:v>22183.079999999998</c:v>
                </c:pt>
                <c:pt idx="9">
                  <c:v>21630.619999999995</c:v>
                </c:pt>
                <c:pt idx="10">
                  <c:v>20922.999999999996</c:v>
                </c:pt>
                <c:pt idx="11">
                  <c:v>20060.219999999994</c:v>
                </c:pt>
                <c:pt idx="12">
                  <c:v>19042.27999999999</c:v>
                </c:pt>
                <c:pt idx="13">
                  <c:v>17869.179999999993</c:v>
                </c:pt>
                <c:pt idx="14">
                  <c:v>16540.91999999999</c:v>
                </c:pt>
                <c:pt idx="15">
                  <c:v>15057.499999999993</c:v>
                </c:pt>
              </c:numCache>
            </c:numRef>
          </c:yVal>
          <c:smooth val="0"/>
        </c:ser>
        <c:axId val="34915195"/>
        <c:axId val="45801300"/>
      </c:scatterChart>
      <c:valAx>
        <c:axId val="349151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801300"/>
        <c:crosses val="autoZero"/>
        <c:crossBetween val="midCat"/>
        <c:dispUnits/>
      </c:valAx>
      <c:valAx>
        <c:axId val="45801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151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</cdr:x>
      <cdr:y>0.4805</cdr:y>
    </cdr:from>
    <cdr:to>
      <cdr:x>0.9095</cdr:x>
      <cdr:y>0.522</cdr:y>
    </cdr:to>
    <cdr:sp>
      <cdr:nvSpPr>
        <cdr:cNvPr id="1" name="TextBox 1"/>
        <cdr:cNvSpPr txBox="1">
          <a:spLocks noChangeArrowheads="1"/>
        </cdr:cNvSpPr>
      </cdr:nvSpPr>
      <cdr:spPr>
        <a:xfrm>
          <a:off x="4410075" y="2200275"/>
          <a:ext cx="1047750" cy="1905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average productivity</a:t>
          </a:r>
        </a:p>
      </cdr:txBody>
    </cdr:sp>
  </cdr:relSizeAnchor>
  <cdr:relSizeAnchor xmlns:cdr="http://schemas.openxmlformats.org/drawingml/2006/chartDrawing">
    <cdr:from>
      <cdr:x>0.21575</cdr:x>
      <cdr:y>0.172</cdr:y>
    </cdr:from>
    <cdr:to>
      <cdr:x>0.395</cdr:x>
      <cdr:y>0.2135</cdr:y>
    </cdr:to>
    <cdr:sp>
      <cdr:nvSpPr>
        <cdr:cNvPr id="2" name="TextBox 2"/>
        <cdr:cNvSpPr txBox="1">
          <a:spLocks noChangeArrowheads="1"/>
        </cdr:cNvSpPr>
      </cdr:nvSpPr>
      <cdr:spPr>
        <a:xfrm>
          <a:off x="1285875" y="781050"/>
          <a:ext cx="1076325" cy="1905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marginal productivity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4</xdr:row>
      <xdr:rowOff>0</xdr:rowOff>
    </xdr:from>
    <xdr:to>
      <xdr:col>13</xdr:col>
      <xdr:colOff>685800</xdr:colOff>
      <xdr:row>27</xdr:row>
      <xdr:rowOff>180975</xdr:rowOff>
    </xdr:to>
    <xdr:graphicFrame>
      <xdr:nvGraphicFramePr>
        <xdr:cNvPr id="1" name="Chart 45"/>
        <xdr:cNvGraphicFramePr/>
      </xdr:nvGraphicFramePr>
      <xdr:xfrm>
        <a:off x="3914775" y="790575"/>
        <a:ext cx="60007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75" zoomScaleNormal="75" workbookViewId="0" topLeftCell="A1">
      <selection activeCell="A1" sqref="A1:N1"/>
    </sheetView>
  </sheetViews>
  <sheetFormatPr defaultColWidth="9.140625" defaultRowHeight="12.75"/>
  <cols>
    <col min="1" max="1" width="8.28125" style="0" customWidth="1"/>
    <col min="2" max="3" width="12.7109375" style="0" customWidth="1"/>
    <col min="4" max="5" width="9.7109375" style="0" customWidth="1"/>
    <col min="6" max="6" width="5.7109375" style="0" customWidth="1"/>
    <col min="8" max="8" width="10.28125" style="0" bestFit="1" customWidth="1"/>
    <col min="9" max="9" width="14.00390625" style="0" customWidth="1"/>
    <col min="10" max="10" width="12.7109375" style="0" customWidth="1"/>
    <col min="11" max="11" width="9.421875" style="0" customWidth="1"/>
    <col min="12" max="12" width="11.7109375" style="0" customWidth="1"/>
    <col min="13" max="13" width="12.28125" style="0" bestFit="1" customWidth="1"/>
    <col min="14" max="14" width="10.7109375" style="0" customWidth="1"/>
    <col min="15" max="15" width="10.00390625" style="0" bestFit="1" customWidth="1"/>
    <col min="16" max="16" width="12.421875" style="0" bestFit="1" customWidth="1"/>
  </cols>
  <sheetData>
    <row r="1" spans="1:14" ht="19.5">
      <c r="A1" s="40" t="s">
        <v>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2.75">
      <c r="A2" s="41" t="s">
        <v>81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6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5">
      <c r="A5" s="21" t="s">
        <v>3</v>
      </c>
      <c r="B5" s="21" t="s">
        <v>68</v>
      </c>
      <c r="C5" s="21" t="s">
        <v>55</v>
      </c>
      <c r="D5" s="21" t="s">
        <v>46</v>
      </c>
      <c r="E5" s="21" t="s">
        <v>47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6.5">
      <c r="A6" s="22" t="s">
        <v>61</v>
      </c>
      <c r="B6" s="22" t="s">
        <v>45</v>
      </c>
      <c r="C6" s="22" t="s">
        <v>45</v>
      </c>
      <c r="D6" s="22" t="s">
        <v>44</v>
      </c>
      <c r="E6" s="22" t="s">
        <v>44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5">
      <c r="A7" s="23">
        <v>1000</v>
      </c>
      <c r="B7" s="24">
        <f aca="true" t="shared" si="0" ref="B7:B34">$J$31*$H$34*($H$31^$H$32)*(A7^$H$33)</f>
        <v>69029379.52207111</v>
      </c>
      <c r="C7" s="24">
        <f aca="true" t="shared" si="1" ref="C7:C34">$L$31*A7^3+$L$32*A7^2+$L$33*A7+$J$32</f>
        <v>70328780</v>
      </c>
      <c r="D7" s="24"/>
      <c r="E7" s="24"/>
      <c r="F7" s="25"/>
      <c r="G7" s="20"/>
      <c r="H7" s="20"/>
      <c r="I7" s="20"/>
      <c r="J7" s="20"/>
      <c r="K7" s="20"/>
      <c r="L7" s="20"/>
      <c r="M7" s="20"/>
      <c r="N7" s="26"/>
      <c r="P7" s="25"/>
    </row>
    <row r="8" spans="1:16" ht="15">
      <c r="A8" s="23">
        <f>A7+100</f>
        <v>1100</v>
      </c>
      <c r="B8" s="24">
        <f t="shared" si="0"/>
        <v>71858891.63386925</v>
      </c>
      <c r="C8" s="24">
        <f t="shared" si="1"/>
        <v>72466214</v>
      </c>
      <c r="D8" s="24">
        <f aca="true" t="shared" si="2" ref="D8:D23">(B8-$J$32)/A8</f>
        <v>14662.828758062951</v>
      </c>
      <c r="E8" s="24"/>
      <c r="F8" s="25"/>
      <c r="G8" s="20"/>
      <c r="H8" s="20"/>
      <c r="I8" s="20"/>
      <c r="J8" s="20"/>
      <c r="K8" s="20"/>
      <c r="L8" s="20"/>
      <c r="M8" s="20"/>
      <c r="N8" s="26"/>
      <c r="P8" s="25"/>
    </row>
    <row r="9" spans="1:16" ht="15">
      <c r="A9" s="23">
        <f aca="true" t="shared" si="3" ref="A9:A34">A8+100</f>
        <v>1200</v>
      </c>
      <c r="B9" s="24">
        <f t="shared" si="0"/>
        <v>74543187.86756022</v>
      </c>
      <c r="C9" s="24">
        <f t="shared" si="1"/>
        <v>74664772</v>
      </c>
      <c r="D9" s="24">
        <f t="shared" si="2"/>
        <v>15677.839889633518</v>
      </c>
      <c r="E9" s="24">
        <f aca="true" t="shared" si="4" ref="E9:E22">3*$L$31*A9^2+2*$L$32*A9+$L$33</f>
        <v>22239.479999999996</v>
      </c>
      <c r="F9" s="25"/>
      <c r="G9" s="20"/>
      <c r="H9" s="20"/>
      <c r="I9" s="20"/>
      <c r="J9" s="20"/>
      <c r="K9" s="20"/>
      <c r="L9" s="20"/>
      <c r="M9" s="20"/>
      <c r="N9" s="26"/>
      <c r="P9" s="25"/>
    </row>
    <row r="10" spans="1:16" ht="15">
      <c r="A10" s="23">
        <f t="shared" si="3"/>
        <v>1300</v>
      </c>
      <c r="B10" s="24">
        <f t="shared" si="0"/>
        <v>77100961.28106987</v>
      </c>
      <c r="C10" s="24">
        <f t="shared" si="1"/>
        <v>76908938</v>
      </c>
      <c r="D10" s="24">
        <f t="shared" si="2"/>
        <v>16439.370216207597</v>
      </c>
      <c r="E10" s="24">
        <f t="shared" si="4"/>
        <v>22617.979999999996</v>
      </c>
      <c r="F10" s="25"/>
      <c r="G10" s="20"/>
      <c r="H10" s="20"/>
      <c r="I10" s="20"/>
      <c r="J10" s="20"/>
      <c r="K10" s="20"/>
      <c r="L10" s="20"/>
      <c r="M10" s="20"/>
      <c r="N10" s="26"/>
      <c r="P10" s="25"/>
    </row>
    <row r="11" spans="1:16" ht="15">
      <c r="A11" s="23">
        <f t="shared" si="3"/>
        <v>1400</v>
      </c>
      <c r="B11" s="24">
        <f t="shared" si="0"/>
        <v>79547268.18023644</v>
      </c>
      <c r="C11" s="24">
        <f t="shared" si="1"/>
        <v>79183196</v>
      </c>
      <c r="D11" s="24">
        <f t="shared" si="2"/>
        <v>17012.491557311747</v>
      </c>
      <c r="E11" s="24">
        <f t="shared" si="4"/>
        <v>22841.32</v>
      </c>
      <c r="F11" s="25"/>
      <c r="G11" s="20"/>
      <c r="H11" s="20"/>
      <c r="I11" s="20"/>
      <c r="J11" s="20"/>
      <c r="K11" s="20"/>
      <c r="L11" s="20"/>
      <c r="M11" s="20"/>
      <c r="N11" s="26"/>
      <c r="P11" s="25"/>
    </row>
    <row r="12" spans="1:16" ht="15">
      <c r="A12" s="23">
        <f t="shared" si="3"/>
        <v>1500</v>
      </c>
      <c r="B12" s="24">
        <f t="shared" si="0"/>
        <v>81894441.68924572</v>
      </c>
      <c r="C12" s="24">
        <f t="shared" si="1"/>
        <v>81472030</v>
      </c>
      <c r="D12" s="24">
        <f t="shared" si="2"/>
        <v>17443.107792830477</v>
      </c>
      <c r="E12" s="24">
        <f t="shared" si="4"/>
        <v>22909.499999999996</v>
      </c>
      <c r="F12" s="25"/>
      <c r="G12" s="20"/>
      <c r="H12" s="20"/>
      <c r="I12" s="20"/>
      <c r="J12" s="20"/>
      <c r="K12" s="20"/>
      <c r="L12" s="20"/>
      <c r="M12" s="20"/>
      <c r="N12" s="26"/>
      <c r="P12" s="25"/>
    </row>
    <row r="13" spans="1:16" ht="15">
      <c r="A13" s="23">
        <f t="shared" si="3"/>
        <v>1600</v>
      </c>
      <c r="B13" s="24">
        <f t="shared" si="0"/>
        <v>84152730.81749994</v>
      </c>
      <c r="C13" s="24">
        <f t="shared" si="1"/>
        <v>83759924</v>
      </c>
      <c r="D13" s="24">
        <f t="shared" si="2"/>
        <v>17764.34426093746</v>
      </c>
      <c r="E13" s="24">
        <f t="shared" si="4"/>
        <v>22822.519999999997</v>
      </c>
      <c r="F13" s="25"/>
      <c r="G13" s="20"/>
      <c r="H13" s="20"/>
      <c r="I13" s="20"/>
      <c r="J13" s="20"/>
      <c r="K13" s="20"/>
      <c r="L13" s="20"/>
      <c r="M13" s="20"/>
      <c r="N13" s="26"/>
      <c r="P13" s="25"/>
    </row>
    <row r="14" spans="1:16" ht="15">
      <c r="A14" s="23">
        <f t="shared" si="3"/>
        <v>1700</v>
      </c>
      <c r="B14" s="24">
        <f t="shared" si="0"/>
        <v>86330759.37167236</v>
      </c>
      <c r="C14" s="24">
        <f t="shared" si="1"/>
        <v>86031362</v>
      </c>
      <c r="D14" s="24">
        <f t="shared" si="2"/>
        <v>18000.57610098374</v>
      </c>
      <c r="E14" s="24">
        <f t="shared" si="4"/>
        <v>22580.379999999997</v>
      </c>
      <c r="F14" s="25"/>
      <c r="G14" s="20"/>
      <c r="H14" s="20"/>
      <c r="I14" s="20"/>
      <c r="J14" s="20"/>
      <c r="K14" s="20"/>
      <c r="L14" s="20"/>
      <c r="M14" s="20"/>
      <c r="N14" s="26"/>
      <c r="P14" s="25"/>
    </row>
    <row r="15" spans="1:16" ht="15">
      <c r="A15" s="23">
        <f t="shared" si="3"/>
        <v>1800</v>
      </c>
      <c r="B15" s="24">
        <f t="shared" si="0"/>
        <v>88435863.02551828</v>
      </c>
      <c r="C15" s="24">
        <f t="shared" si="1"/>
        <v>88270828</v>
      </c>
      <c r="D15" s="24">
        <f t="shared" si="2"/>
        <v>18170.046125287936</v>
      </c>
      <c r="E15" s="24">
        <f t="shared" si="4"/>
        <v>22183.079999999998</v>
      </c>
      <c r="F15" s="25"/>
      <c r="G15" s="20"/>
      <c r="H15" s="20"/>
      <c r="I15" s="20"/>
      <c r="J15" s="20"/>
      <c r="K15" s="20"/>
      <c r="L15" s="20"/>
      <c r="M15" s="20"/>
      <c r="N15" s="26"/>
      <c r="P15" s="25"/>
    </row>
    <row r="16" spans="1:16" ht="15">
      <c r="A16" s="23">
        <f t="shared" si="3"/>
        <v>1900</v>
      </c>
      <c r="B16" s="24">
        <f t="shared" si="0"/>
        <v>90474341.81515725</v>
      </c>
      <c r="C16" s="24">
        <f t="shared" si="1"/>
        <v>90462806</v>
      </c>
      <c r="D16" s="24">
        <f t="shared" si="2"/>
        <v>18286.611481661712</v>
      </c>
      <c r="E16" s="24">
        <f t="shared" si="4"/>
        <v>21630.619999999995</v>
      </c>
      <c r="F16" s="25"/>
      <c r="G16" s="20"/>
      <c r="H16" s="20"/>
      <c r="I16" s="20"/>
      <c r="J16" s="20"/>
      <c r="K16" s="20"/>
      <c r="L16" s="20"/>
      <c r="M16" s="20"/>
      <c r="N16" s="26"/>
      <c r="P16" s="25"/>
    </row>
    <row r="17" spans="1:16" ht="15">
      <c r="A17" s="23">
        <f t="shared" si="3"/>
        <v>2000</v>
      </c>
      <c r="B17" s="24">
        <f t="shared" si="0"/>
        <v>92451652.57982817</v>
      </c>
      <c r="C17" s="24">
        <f t="shared" si="1"/>
        <v>92591780</v>
      </c>
      <c r="D17" s="24">
        <f t="shared" si="2"/>
        <v>18360.936289914087</v>
      </c>
      <c r="E17" s="24">
        <f t="shared" si="4"/>
        <v>20922.999999999996</v>
      </c>
      <c r="F17" s="25"/>
      <c r="G17" s="20"/>
      <c r="H17" s="20"/>
      <c r="I17" s="20"/>
      <c r="J17" s="20"/>
      <c r="K17" s="20"/>
      <c r="L17" s="20"/>
      <c r="M17" s="20"/>
      <c r="N17" s="26"/>
      <c r="P17" s="25"/>
    </row>
    <row r="18" spans="1:16" ht="15">
      <c r="A18" s="23">
        <f t="shared" si="3"/>
        <v>2100</v>
      </c>
      <c r="B18" s="24">
        <f t="shared" si="0"/>
        <v>94372557.89677575</v>
      </c>
      <c r="C18" s="24">
        <f t="shared" si="1"/>
        <v>94642234</v>
      </c>
      <c r="D18" s="24">
        <f t="shared" si="2"/>
        <v>18401.322807988454</v>
      </c>
      <c r="E18" s="24">
        <f t="shared" si="4"/>
        <v>20060.219999999994</v>
      </c>
      <c r="F18" s="25"/>
      <c r="G18" s="20"/>
      <c r="H18" s="20"/>
      <c r="I18" s="20"/>
      <c r="J18" s="20"/>
      <c r="K18" s="20"/>
      <c r="L18" s="20"/>
      <c r="M18" s="20"/>
      <c r="N18" s="26"/>
      <c r="P18" s="25"/>
    </row>
    <row r="19" spans="1:16" ht="15">
      <c r="A19" s="23">
        <f t="shared" si="3"/>
        <v>2200</v>
      </c>
      <c r="B19" s="24">
        <f t="shared" si="0"/>
        <v>96241242.93311733</v>
      </c>
      <c r="C19" s="24">
        <f t="shared" si="1"/>
        <v>96598652</v>
      </c>
      <c r="D19" s="24">
        <f t="shared" si="2"/>
        <v>18414.30133323515</v>
      </c>
      <c r="E19" s="24">
        <f t="shared" si="4"/>
        <v>19042.27999999999</v>
      </c>
      <c r="F19" s="25"/>
      <c r="G19" s="20"/>
      <c r="H19" s="20"/>
      <c r="I19" s="20"/>
      <c r="J19" s="20"/>
      <c r="K19" s="20"/>
      <c r="L19" s="20"/>
      <c r="M19" s="20"/>
      <c r="N19" s="26"/>
      <c r="P19" s="25"/>
    </row>
    <row r="20" spans="1:16" ht="15">
      <c r="A20" s="23">
        <f t="shared" si="3"/>
        <v>2300</v>
      </c>
      <c r="B20" s="24">
        <f t="shared" si="0"/>
        <v>98061408.25891615</v>
      </c>
      <c r="C20" s="24">
        <f t="shared" si="1"/>
        <v>98445518</v>
      </c>
      <c r="D20" s="24">
        <f t="shared" si="2"/>
        <v>18405.055764746154</v>
      </c>
      <c r="E20" s="24">
        <f t="shared" si="4"/>
        <v>17869.179999999993</v>
      </c>
      <c r="F20" s="25"/>
      <c r="G20" s="20"/>
      <c r="H20" s="20"/>
      <c r="I20" s="20"/>
      <c r="J20" s="20"/>
      <c r="K20" s="20"/>
      <c r="L20" s="20"/>
      <c r="M20" s="20"/>
      <c r="N20" s="26"/>
      <c r="P20" s="25"/>
    </row>
    <row r="21" spans="1:16" ht="15">
      <c r="A21" s="23">
        <f t="shared" si="3"/>
        <v>2400</v>
      </c>
      <c r="B21" s="24">
        <f t="shared" si="0"/>
        <v>99836344.38900092</v>
      </c>
      <c r="C21" s="24">
        <f t="shared" si="1"/>
        <v>100167316</v>
      </c>
      <c r="D21" s="24">
        <f t="shared" si="2"/>
        <v>18377.735162083718</v>
      </c>
      <c r="E21" s="24">
        <f t="shared" si="4"/>
        <v>16540.91999999999</v>
      </c>
      <c r="F21" s="25"/>
      <c r="G21" s="20"/>
      <c r="H21" s="20"/>
      <c r="I21" s="20"/>
      <c r="J21" s="20"/>
      <c r="K21" s="20"/>
      <c r="L21" s="20"/>
      <c r="M21" s="20"/>
      <c r="N21" s="26"/>
      <c r="P21" s="25"/>
    </row>
    <row r="22" spans="1:16" ht="15">
      <c r="A22" s="23">
        <f t="shared" si="3"/>
        <v>2500</v>
      </c>
      <c r="B22" s="24">
        <f t="shared" si="0"/>
        <v>101568992.25620613</v>
      </c>
      <c r="C22" s="24">
        <f t="shared" si="1"/>
        <v>101748530</v>
      </c>
      <c r="D22" s="24">
        <f t="shared" si="2"/>
        <v>18335.68490248245</v>
      </c>
      <c r="E22" s="24">
        <f t="shared" si="4"/>
        <v>15057.499999999993</v>
      </c>
      <c r="F22" s="25"/>
      <c r="G22" s="20"/>
      <c r="H22" s="20"/>
      <c r="I22" s="20"/>
      <c r="J22" s="20"/>
      <c r="K22" s="20"/>
      <c r="L22" s="20"/>
      <c r="M22" s="20"/>
      <c r="N22" s="26"/>
      <c r="P22" s="25"/>
    </row>
    <row r="23" spans="1:16" ht="15">
      <c r="A23" s="23">
        <f t="shared" si="3"/>
        <v>2600</v>
      </c>
      <c r="B23" s="24">
        <f t="shared" si="0"/>
        <v>103261992.72368005</v>
      </c>
      <c r="C23" s="24">
        <f t="shared" si="1"/>
        <v>103173644</v>
      </c>
      <c r="D23" s="24">
        <f t="shared" si="2"/>
        <v>18281.62027833848</v>
      </c>
      <c r="E23" s="24"/>
      <c r="F23" s="25"/>
      <c r="G23" s="20"/>
      <c r="H23" s="20"/>
      <c r="I23" s="20"/>
      <c r="J23" s="20"/>
      <c r="K23" s="20"/>
      <c r="L23" s="20"/>
      <c r="M23" s="20"/>
      <c r="N23" s="26"/>
      <c r="P23" s="25"/>
    </row>
    <row r="24" spans="1:16" ht="15">
      <c r="A24" s="23">
        <f t="shared" si="3"/>
        <v>2700</v>
      </c>
      <c r="B24" s="24">
        <f t="shared" si="0"/>
        <v>104917727.4650973</v>
      </c>
      <c r="C24" s="24">
        <f t="shared" si="1"/>
        <v>104427142</v>
      </c>
      <c r="D24" s="24"/>
      <c r="E24" s="24"/>
      <c r="F24" s="25"/>
      <c r="G24" s="20"/>
      <c r="H24" s="20"/>
      <c r="I24" s="20"/>
      <c r="J24" s="20"/>
      <c r="K24" s="20"/>
      <c r="L24" s="20"/>
      <c r="M24" s="20"/>
      <c r="N24" s="26"/>
      <c r="P24" s="25"/>
    </row>
    <row r="25" spans="1:16" ht="15">
      <c r="A25" s="23">
        <f t="shared" si="3"/>
        <v>2800</v>
      </c>
      <c r="B25" s="24">
        <f t="shared" si="0"/>
        <v>106538352.97943275</v>
      </c>
      <c r="C25" s="24">
        <f t="shared" si="1"/>
        <v>105493508</v>
      </c>
      <c r="D25" s="24"/>
      <c r="E25" s="24"/>
      <c r="F25" s="25"/>
      <c r="G25" s="20"/>
      <c r="H25" s="20"/>
      <c r="I25" s="20"/>
      <c r="J25" s="20"/>
      <c r="K25" s="20"/>
      <c r="L25" s="20"/>
      <c r="M25" s="20"/>
      <c r="N25" s="26"/>
      <c r="P25" s="25"/>
    </row>
    <row r="26" spans="1:16" ht="15">
      <c r="A26" s="23">
        <f t="shared" si="3"/>
        <v>2900</v>
      </c>
      <c r="B26" s="24">
        <f t="shared" si="0"/>
        <v>108125829.0956014</v>
      </c>
      <c r="C26" s="24">
        <f t="shared" si="1"/>
        <v>106357226</v>
      </c>
      <c r="D26" s="24"/>
      <c r="E26" s="24"/>
      <c r="F26" s="25"/>
      <c r="G26" s="20"/>
      <c r="H26" s="20"/>
      <c r="I26" s="20"/>
      <c r="J26" s="20"/>
      <c r="K26" s="20"/>
      <c r="L26" s="20"/>
      <c r="M26" s="20"/>
      <c r="N26" s="26"/>
      <c r="P26" s="25"/>
    </row>
    <row r="27" spans="1:16" ht="15">
      <c r="A27" s="23">
        <f t="shared" si="3"/>
        <v>3000</v>
      </c>
      <c r="B27" s="24">
        <f t="shared" si="0"/>
        <v>109681943.01749931</v>
      </c>
      <c r="C27" s="24">
        <f t="shared" si="1"/>
        <v>107002780</v>
      </c>
      <c r="D27" s="24"/>
      <c r="E27" s="24"/>
      <c r="F27" s="25"/>
      <c r="P27" s="25"/>
    </row>
    <row r="28" spans="1:16" ht="15">
      <c r="A28" s="23">
        <f t="shared" si="3"/>
        <v>3100</v>
      </c>
      <c r="B28" s="24">
        <f t="shared" si="0"/>
        <v>111208329.73156299</v>
      </c>
      <c r="C28" s="24">
        <f t="shared" si="1"/>
        <v>107414654</v>
      </c>
      <c r="D28" s="24"/>
      <c r="E28" s="24"/>
      <c r="F28" s="25"/>
      <c r="P28" s="25"/>
    </row>
    <row r="29" spans="1:16" ht="15">
      <c r="A29" s="23">
        <f t="shared" si="3"/>
        <v>3200</v>
      </c>
      <c r="B29" s="24">
        <f t="shared" si="0"/>
        <v>112706489.4259371</v>
      </c>
      <c r="C29" s="24">
        <f t="shared" si="1"/>
        <v>107577332</v>
      </c>
      <c r="D29" s="24"/>
      <c r="E29" s="24"/>
      <c r="F29" s="25"/>
      <c r="P29" s="25"/>
    </row>
    <row r="30" spans="1:16" ht="17.25">
      <c r="A30" s="23">
        <f t="shared" si="3"/>
        <v>3300</v>
      </c>
      <c r="B30" s="24">
        <f t="shared" si="0"/>
        <v>114177802.43797028</v>
      </c>
      <c r="C30" s="24">
        <f t="shared" si="1"/>
        <v>107475298</v>
      </c>
      <c r="D30" s="24"/>
      <c r="E30" s="24"/>
      <c r="F30" s="25"/>
      <c r="G30" s="42" t="s">
        <v>8</v>
      </c>
      <c r="H30" s="43"/>
      <c r="I30" s="42" t="s">
        <v>7</v>
      </c>
      <c r="J30" s="43"/>
      <c r="K30" s="42" t="s">
        <v>62</v>
      </c>
      <c r="L30" s="43"/>
      <c r="M30" s="44" t="s">
        <v>9</v>
      </c>
      <c r="N30" s="44"/>
      <c r="P30" s="25"/>
    </row>
    <row r="31" spans="1:16" ht="17.25">
      <c r="A31" s="23">
        <f t="shared" si="3"/>
        <v>3400</v>
      </c>
      <c r="B31" s="24">
        <f t="shared" si="0"/>
        <v>115623542.14455393</v>
      </c>
      <c r="C31" s="24">
        <f t="shared" si="1"/>
        <v>107093035.99999999</v>
      </c>
      <c r="D31" s="24"/>
      <c r="E31" s="24"/>
      <c r="F31" s="25"/>
      <c r="G31" s="27" t="s">
        <v>63</v>
      </c>
      <c r="H31" s="28">
        <f>budget!C6</f>
        <v>118574</v>
      </c>
      <c r="I31" s="27" t="s">
        <v>6</v>
      </c>
      <c r="J31" s="29">
        <f>budget!C27</f>
        <v>0.1623</v>
      </c>
      <c r="K31" s="30" t="s">
        <v>0</v>
      </c>
      <c r="L31" s="31">
        <v>-0.002586</v>
      </c>
      <c r="M31" s="27" t="s">
        <v>64</v>
      </c>
      <c r="N31" s="32">
        <f>-L32/L31/2</f>
        <v>2240.9126063418403</v>
      </c>
      <c r="P31" s="25"/>
    </row>
    <row r="32" spans="1:14" ht="17.25">
      <c r="A32" s="23">
        <f t="shared" si="3"/>
        <v>3500</v>
      </c>
      <c r="B32" s="24">
        <f t="shared" si="0"/>
        <v>117044886.13022335</v>
      </c>
      <c r="C32" s="24">
        <f t="shared" si="1"/>
        <v>106415029.99999999</v>
      </c>
      <c r="D32" s="24"/>
      <c r="E32" s="24"/>
      <c r="G32" s="27" t="s">
        <v>0</v>
      </c>
      <c r="H32" s="33">
        <f>budget!C21</f>
        <v>0.578511408387587</v>
      </c>
      <c r="I32" s="27" t="s">
        <v>5</v>
      </c>
      <c r="J32" s="24">
        <f>budget!C15</f>
        <v>55729780</v>
      </c>
      <c r="K32" s="30" t="s">
        <v>1</v>
      </c>
      <c r="L32" s="31">
        <v>11.59</v>
      </c>
      <c r="M32" s="27" t="s">
        <v>80</v>
      </c>
      <c r="N32" s="34">
        <f>(J34/N31)-1</f>
        <v>0.30259430543572075</v>
      </c>
    </row>
    <row r="33" spans="1:15" ht="17.25">
      <c r="A33" s="23">
        <f t="shared" si="3"/>
        <v>3600</v>
      </c>
      <c r="B33" s="24">
        <f t="shared" si="0"/>
        <v>118442925.9054591</v>
      </c>
      <c r="C33" s="24">
        <f t="shared" si="1"/>
        <v>105425763.99999999</v>
      </c>
      <c r="D33" s="24">
        <v>13900</v>
      </c>
      <c r="E33" s="24"/>
      <c r="G33" s="27" t="s">
        <v>1</v>
      </c>
      <c r="H33" s="33">
        <f>1-H32</f>
        <v>0.42148859161241303</v>
      </c>
      <c r="I33" s="27" t="s">
        <v>51</v>
      </c>
      <c r="J33" s="24">
        <f>budget!C10</f>
        <v>13910</v>
      </c>
      <c r="K33" s="30" t="s">
        <v>4</v>
      </c>
      <c r="L33" s="31">
        <v>5595</v>
      </c>
      <c r="M33" s="27" t="s">
        <v>65</v>
      </c>
      <c r="N33" s="34">
        <f>(L31*N31^2+L32*N31+L33)/J33-1</f>
        <v>0.3358079477894298</v>
      </c>
      <c r="O33" s="39"/>
    </row>
    <row r="34" spans="1:14" ht="17.25">
      <c r="A34" s="23">
        <f t="shared" si="3"/>
        <v>3700</v>
      </c>
      <c r="B34" s="24">
        <f t="shared" si="0"/>
        <v>119818675.3981997</v>
      </c>
      <c r="C34" s="24">
        <f t="shared" si="1"/>
        <v>104109721.99999999</v>
      </c>
      <c r="D34" s="24"/>
      <c r="E34" s="24"/>
      <c r="G34" s="27" t="s">
        <v>2</v>
      </c>
      <c r="H34" s="28">
        <f>budget!C23</f>
        <v>26846.57453845971</v>
      </c>
      <c r="I34" s="27" t="s">
        <v>66</v>
      </c>
      <c r="J34" s="24">
        <f>budget!C9</f>
        <v>2919</v>
      </c>
      <c r="K34" s="30" t="s">
        <v>60</v>
      </c>
      <c r="L34" s="34">
        <v>0.9785</v>
      </c>
      <c r="M34" s="27" t="s">
        <v>67</v>
      </c>
      <c r="N34" s="35">
        <f>H31/N31</f>
        <v>52.913263848144965</v>
      </c>
    </row>
  </sheetData>
  <mergeCells count="6">
    <mergeCell ref="A1:N1"/>
    <mergeCell ref="A2:N2"/>
    <mergeCell ref="G30:H30"/>
    <mergeCell ref="I30:J30"/>
    <mergeCell ref="K30:L30"/>
    <mergeCell ref="M30:N30"/>
  </mergeCells>
  <printOptions horizontalCentered="1" verticalCentered="1"/>
  <pageMargins left="0.984251968503937" right="0.984251968503937" top="1.1811023622047245" bottom="1.1811023622047245" header="0.7086614173228347" footer="0.7086614173228347"/>
  <pageSetup fitToHeight="1" fitToWidth="1" horizontalDpi="300" verticalDpi="300" orientation="landscape" paperSize="9" scale="82" r:id="rId2"/>
  <headerFooter alignWithMargins="0">
    <oddHeader>&amp;R&amp;"Arial,Grassetto"&amp;12ANNEX 2</oddHeader>
    <oddFooter>&amp;L&amp;8&amp;F/&amp;A&amp;R&amp;8&amp;D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="75" zoomScaleNormal="75" workbookViewId="0" topLeftCell="A1">
      <selection activeCell="A1" sqref="A1:E1"/>
    </sheetView>
  </sheetViews>
  <sheetFormatPr defaultColWidth="9.140625" defaultRowHeight="12.75"/>
  <cols>
    <col min="1" max="1" width="24.7109375" style="0" customWidth="1"/>
    <col min="2" max="2" width="40.7109375" style="0" customWidth="1"/>
    <col min="3" max="3" width="15.57421875" style="0" customWidth="1"/>
    <col min="4" max="9" width="15.7109375" style="0" customWidth="1"/>
    <col min="10" max="12" width="15.57421875" style="0" customWidth="1"/>
  </cols>
  <sheetData>
    <row r="1" spans="1:5" ht="19.5">
      <c r="A1" s="40" t="s">
        <v>69</v>
      </c>
      <c r="B1" s="40"/>
      <c r="C1" s="40"/>
      <c r="D1" s="40"/>
      <c r="E1" s="40"/>
    </row>
    <row r="2" spans="1:5" ht="15.75">
      <c r="A2" s="45" t="s">
        <v>70</v>
      </c>
      <c r="B2" s="45"/>
      <c r="C2" s="45"/>
      <c r="D2" s="45"/>
      <c r="E2" s="45"/>
    </row>
    <row r="3" spans="1:5" ht="15.75" customHeight="1">
      <c r="A3" s="1"/>
      <c r="B3" s="1"/>
      <c r="C3" s="2"/>
      <c r="D3" s="2"/>
      <c r="E3" s="2"/>
    </row>
    <row r="4" spans="1:5" ht="15.75" customHeight="1">
      <c r="A4" s="38" t="s">
        <v>74</v>
      </c>
      <c r="B4" s="38" t="s">
        <v>79</v>
      </c>
      <c r="C4" s="38" t="s">
        <v>76</v>
      </c>
      <c r="D4" s="38" t="s">
        <v>83</v>
      </c>
      <c r="E4" s="38" t="s">
        <v>85</v>
      </c>
    </row>
    <row r="5" spans="1:5" ht="18.75" customHeight="1">
      <c r="A5" s="37" t="s">
        <v>75</v>
      </c>
      <c r="B5" s="37" t="s">
        <v>78</v>
      </c>
      <c r="C5" s="37" t="s">
        <v>77</v>
      </c>
      <c r="D5" s="37" t="s">
        <v>82</v>
      </c>
      <c r="E5" s="37" t="s">
        <v>84</v>
      </c>
    </row>
    <row r="6" spans="1:5" ht="18.75" customHeight="1">
      <c r="A6" s="15" t="s">
        <v>38</v>
      </c>
      <c r="B6" s="15" t="s">
        <v>57</v>
      </c>
      <c r="C6" s="17">
        <v>118574</v>
      </c>
      <c r="D6" s="17">
        <v>118574</v>
      </c>
      <c r="E6" s="17">
        <v>118574</v>
      </c>
    </row>
    <row r="7" spans="1:5" ht="18.75" customHeight="1">
      <c r="A7" s="3" t="s">
        <v>14</v>
      </c>
      <c r="B7" s="3" t="s">
        <v>15</v>
      </c>
      <c r="C7" s="3">
        <v>470</v>
      </c>
      <c r="D7" s="3">
        <v>470</v>
      </c>
      <c r="E7" s="3">
        <v>470</v>
      </c>
    </row>
    <row r="8" spans="1:5" ht="18.75" customHeight="1">
      <c r="A8" s="3" t="s">
        <v>39</v>
      </c>
      <c r="B8" s="3" t="s">
        <v>40</v>
      </c>
      <c r="C8" s="4">
        <v>5634</v>
      </c>
      <c r="D8" s="4">
        <v>5634</v>
      </c>
      <c r="E8" s="4">
        <v>5634</v>
      </c>
    </row>
    <row r="9" spans="1:5" ht="18.75" customHeight="1">
      <c r="A9" s="3" t="s">
        <v>23</v>
      </c>
      <c r="B9" s="3" t="s">
        <v>73</v>
      </c>
      <c r="C9" s="4">
        <v>2919</v>
      </c>
      <c r="D9" s="4">
        <v>2919</v>
      </c>
      <c r="E9" s="4">
        <v>2630</v>
      </c>
    </row>
    <row r="10" spans="1:5" ht="18.75" customHeight="1">
      <c r="A10" s="3" t="s">
        <v>50</v>
      </c>
      <c r="B10" s="3" t="s">
        <v>49</v>
      </c>
      <c r="C10" s="4">
        <v>13910</v>
      </c>
      <c r="D10" s="4">
        <v>13910</v>
      </c>
      <c r="E10" s="4">
        <v>13910</v>
      </c>
    </row>
    <row r="11" spans="1:5" ht="18.75" customHeight="1">
      <c r="A11" s="5"/>
      <c r="B11" s="5"/>
      <c r="C11" s="8"/>
      <c r="D11" s="8"/>
      <c r="E11" s="8"/>
    </row>
    <row r="12" ht="18.75" customHeight="1">
      <c r="A12" s="1" t="s">
        <v>22</v>
      </c>
    </row>
    <row r="13" spans="1:5" ht="18.75" customHeight="1">
      <c r="A13" s="11" t="s">
        <v>10</v>
      </c>
      <c r="B13" s="11" t="s">
        <v>11</v>
      </c>
      <c r="C13" s="11" t="s">
        <v>56</v>
      </c>
      <c r="D13" s="11" t="s">
        <v>82</v>
      </c>
      <c r="E13" s="11" t="s">
        <v>84</v>
      </c>
    </row>
    <row r="14" spans="1:5" ht="18.75" customHeight="1">
      <c r="A14" s="3" t="s">
        <v>24</v>
      </c>
      <c r="B14" s="3" t="s">
        <v>25</v>
      </c>
      <c r="C14" s="4">
        <f>C9*C10</f>
        <v>40603290</v>
      </c>
      <c r="D14" s="4">
        <f>D9*D10+120000</f>
        <v>40723290</v>
      </c>
      <c r="E14" s="4">
        <f>E9*E10+120000</f>
        <v>36703300</v>
      </c>
    </row>
    <row r="15" spans="1:5" ht="18.75" customHeight="1">
      <c r="A15" s="3" t="s">
        <v>26</v>
      </c>
      <c r="B15" s="3" t="s">
        <v>27</v>
      </c>
      <c r="C15" s="4">
        <f>C6*C7</f>
        <v>55729780</v>
      </c>
      <c r="D15" s="4">
        <f>D6*D7+90625</f>
        <v>55820405</v>
      </c>
      <c r="E15" s="4">
        <f>E6*E7+90625</f>
        <v>55820405</v>
      </c>
    </row>
    <row r="16" spans="1:5" ht="18.75" customHeight="1">
      <c r="A16" s="3" t="s">
        <v>28</v>
      </c>
      <c r="B16" s="3" t="s">
        <v>43</v>
      </c>
      <c r="C16" s="4">
        <f>C14+C15</f>
        <v>96333070</v>
      </c>
      <c r="D16" s="4">
        <f>D14+D15</f>
        <v>96543695</v>
      </c>
      <c r="E16" s="4">
        <f>E14+E15</f>
        <v>92523705</v>
      </c>
    </row>
    <row r="17" ht="18.75" customHeight="1"/>
    <row r="18" spans="1:5" ht="18.75" customHeight="1">
      <c r="A18" s="6" t="s">
        <v>41</v>
      </c>
      <c r="B18" s="5"/>
      <c r="C18" s="5"/>
      <c r="D18" s="5"/>
      <c r="E18" s="5"/>
    </row>
    <row r="19" spans="1:5" ht="18.75" customHeight="1">
      <c r="A19" s="11" t="s">
        <v>10</v>
      </c>
      <c r="B19" s="11" t="s">
        <v>11</v>
      </c>
      <c r="C19" s="11" t="s">
        <v>56</v>
      </c>
      <c r="D19" s="11" t="s">
        <v>82</v>
      </c>
      <c r="E19" s="11" t="s">
        <v>84</v>
      </c>
    </row>
    <row r="20" spans="1:5" ht="18.75" customHeight="1">
      <c r="A20" s="3" t="s">
        <v>13</v>
      </c>
      <c r="B20" s="3" t="s">
        <v>42</v>
      </c>
      <c r="C20" s="14">
        <f>C6*C8</f>
        <v>668045916</v>
      </c>
      <c r="D20" s="14">
        <f>D6*D8</f>
        <v>668045916</v>
      </c>
      <c r="E20" s="14">
        <f>E6*E8</f>
        <v>668045916</v>
      </c>
    </row>
    <row r="21" spans="1:5" ht="18.75" customHeight="1">
      <c r="A21" s="3" t="s">
        <v>16</v>
      </c>
      <c r="B21" s="3" t="s">
        <v>17</v>
      </c>
      <c r="C21" s="9">
        <f>C15/C16</f>
        <v>0.578511408387587</v>
      </c>
      <c r="D21" s="9">
        <f>D15/D16</f>
        <v>0.5781879904223678</v>
      </c>
      <c r="E21" s="9">
        <f>E15/E16</f>
        <v>0.6033092276190194</v>
      </c>
    </row>
    <row r="22" spans="1:5" ht="18.75" customHeight="1">
      <c r="A22" s="3" t="s">
        <v>18</v>
      </c>
      <c r="B22" s="3" t="s">
        <v>19</v>
      </c>
      <c r="C22" s="9">
        <f>1-C21</f>
        <v>0.42148859161241303</v>
      </c>
      <c r="D22" s="9">
        <f>1-D21</f>
        <v>0.4218120095776322</v>
      </c>
      <c r="E22" s="9">
        <f>1-E21</f>
        <v>0.3966907723809806</v>
      </c>
    </row>
    <row r="23" spans="1:5" ht="18.75" customHeight="1">
      <c r="A23" s="3" t="s">
        <v>20</v>
      </c>
      <c r="B23" s="3" t="s">
        <v>21</v>
      </c>
      <c r="C23" s="4">
        <f>(C20/C16)*((C7/C21)^C21)*((C10/C22)^C22)</f>
        <v>26846.57453845971</v>
      </c>
      <c r="D23" s="4">
        <f>(D20/D16)*((D7/D21)^D21)*((D10/D22)^D22)</f>
        <v>26820.111056168214</v>
      </c>
      <c r="E23" s="4">
        <f>(E20/E16)*((E7/E21)^E21)*((E10/E22)^E22)</f>
        <v>25466.358121483023</v>
      </c>
    </row>
    <row r="24" spans="1:5" ht="18.75" customHeight="1">
      <c r="A24" s="5"/>
      <c r="B24" s="5"/>
      <c r="C24" s="8"/>
      <c r="D24" s="8"/>
      <c r="E24" s="8"/>
    </row>
    <row r="25" spans="1:5" ht="18.75" customHeight="1">
      <c r="A25" s="1" t="s">
        <v>30</v>
      </c>
      <c r="B25" s="10"/>
      <c r="C25" s="10"/>
      <c r="D25" s="10"/>
      <c r="E25" s="10"/>
    </row>
    <row r="26" spans="1:5" ht="18.75" customHeight="1">
      <c r="A26" s="11" t="s">
        <v>10</v>
      </c>
      <c r="B26" s="11" t="s">
        <v>11</v>
      </c>
      <c r="C26" s="11" t="s">
        <v>56</v>
      </c>
      <c r="D26" s="11" t="s">
        <v>82</v>
      </c>
      <c r="E26" s="11" t="s">
        <v>84</v>
      </c>
    </row>
    <row r="27" spans="1:5" ht="18.75" customHeight="1">
      <c r="A27" s="3" t="s">
        <v>52</v>
      </c>
      <c r="B27" s="15" t="s">
        <v>58</v>
      </c>
      <c r="C27" s="18">
        <v>0.1623</v>
      </c>
      <c r="D27" s="18">
        <v>0.1623</v>
      </c>
      <c r="E27" s="18">
        <v>0.1623</v>
      </c>
    </row>
    <row r="28" spans="1:5" ht="18.75" customHeight="1">
      <c r="A28" s="3" t="s">
        <v>29</v>
      </c>
      <c r="B28" s="3" t="s">
        <v>54</v>
      </c>
      <c r="C28" s="19">
        <f>C20*C27</f>
        <v>108423852.1668</v>
      </c>
      <c r="D28" s="17">
        <f>D20*D27</f>
        <v>108423852.1668</v>
      </c>
      <c r="E28" s="17">
        <f>E20*E27</f>
        <v>108423852.1668</v>
      </c>
    </row>
    <row r="29" spans="1:5" ht="18.75" customHeight="1">
      <c r="A29" s="3" t="s">
        <v>71</v>
      </c>
      <c r="B29" s="3" t="s">
        <v>72</v>
      </c>
      <c r="C29" s="36">
        <v>0</v>
      </c>
      <c r="D29" s="17">
        <f>0.1*0.1*D14</f>
        <v>407232.9000000001</v>
      </c>
      <c r="E29" s="17">
        <f>0.1*0.1*E14</f>
        <v>367033.00000000006</v>
      </c>
    </row>
    <row r="30" spans="1:5" ht="18.75" customHeight="1">
      <c r="A30" s="15" t="s">
        <v>48</v>
      </c>
      <c r="B30" s="15" t="s">
        <v>31</v>
      </c>
      <c r="C30" s="13">
        <f>C28-C16</f>
        <v>12090782.166800007</v>
      </c>
      <c r="D30" s="13">
        <f>D28+D29-D16</f>
        <v>12287390.066800013</v>
      </c>
      <c r="E30" s="13">
        <f>E28+E29-E16</f>
        <v>16267180.166800007</v>
      </c>
    </row>
    <row r="31" spans="1:5" ht="18.75" customHeight="1">
      <c r="A31" s="15" t="s">
        <v>32</v>
      </c>
      <c r="B31" s="15" t="s">
        <v>33</v>
      </c>
      <c r="C31" s="16">
        <f>C30/C28</f>
        <v>0.11151404349846807</v>
      </c>
      <c r="D31" s="16">
        <f>D30/D28</f>
        <v>0.1133273705115827</v>
      </c>
      <c r="E31" s="16">
        <f>E30/E28</f>
        <v>0.15003322462454538</v>
      </c>
    </row>
    <row r="32" spans="1:5" ht="18.75" customHeight="1">
      <c r="A32" s="15" t="s">
        <v>34</v>
      </c>
      <c r="B32" s="15" t="s">
        <v>35</v>
      </c>
      <c r="C32" s="13">
        <f>(C28-C15)/C9</f>
        <v>18052.097350736556</v>
      </c>
      <c r="D32" s="13">
        <f>(D28+D29-D15)/D9</f>
        <v>18160.561859129844</v>
      </c>
      <c r="E32" s="13">
        <f>(E28+E29-E15)/E9</f>
        <v>20140.866983574146</v>
      </c>
    </row>
    <row r="33" spans="1:5" ht="18.75" customHeight="1">
      <c r="A33" s="3" t="s">
        <v>12</v>
      </c>
      <c r="B33" s="3" t="s">
        <v>53</v>
      </c>
      <c r="C33" s="7">
        <f>(C28-C15)/C14-1</f>
        <v>0.2977783861061507</v>
      </c>
      <c r="D33" s="7">
        <f>(D28+D29-D15)/D14-1</f>
        <v>0.30172881579066946</v>
      </c>
      <c r="E33" s="7">
        <f>(E28+E29-E15)/E14-1</f>
        <v>0.4432075635378838</v>
      </c>
    </row>
    <row r="34" spans="1:5" ht="18.75" customHeight="1">
      <c r="A34" s="3" t="s">
        <v>36</v>
      </c>
      <c r="B34" s="3" t="s">
        <v>37</v>
      </c>
      <c r="C34" s="12">
        <f>C6/C9</f>
        <v>40.62144570058239</v>
      </c>
      <c r="D34" s="12">
        <f>D6/D9</f>
        <v>40.62144570058239</v>
      </c>
      <c r="E34" s="12">
        <f>E6/E9</f>
        <v>45.0851711026616</v>
      </c>
    </row>
  </sheetData>
  <mergeCells count="2">
    <mergeCell ref="A1:E1"/>
    <mergeCell ref="A2:E2"/>
  </mergeCells>
  <printOptions horizontalCentered="1" verticalCentered="1"/>
  <pageMargins left="0.984251968503937" right="0.984251968503937" top="1.1811023622047245" bottom="1.1811023622047245" header="0.7086614173228347" footer="0.7086614173228347"/>
  <pageSetup fitToHeight="1" fitToWidth="1" horizontalDpi="300" verticalDpi="300" orientation="portrait" paperSize="9" scale="72" r:id="rId1"/>
  <headerFooter alignWithMargins="0">
    <oddHeader>&amp;R&amp;"Arial,Grassetto"&amp;11ANNEX 1</oddHeader>
    <oddFooter>&amp;L&amp;8&amp;F/&amp;A&amp;R&amp;8&amp;D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Giovanni Repici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Repici</dc:creator>
  <cp:keywords/>
  <dc:description/>
  <cp:lastModifiedBy>REPICI Ing. Giovanni</cp:lastModifiedBy>
  <cp:lastPrinted>2004-02-19T09:05:27Z</cp:lastPrinted>
  <dcterms:created xsi:type="dcterms:W3CDTF">2001-02-18T15:54:53Z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