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0"/>
  </bookViews>
  <sheets>
    <sheet name="budget07" sheetId="1" r:id="rId1"/>
    <sheet name="product07" sheetId="2" r:id="rId2"/>
  </sheets>
  <definedNames>
    <definedName name="_xlnm.Print_Area" localSheetId="1">'product07'!$A$1:$N$31</definedName>
  </definedNames>
  <calcPr fullCalcOnLoad="1"/>
</workbook>
</file>

<file path=xl/sharedStrings.xml><?xml version="1.0" encoding="utf-8"?>
<sst xmlns="http://schemas.openxmlformats.org/spreadsheetml/2006/main" count="106" uniqueCount="86">
  <si>
    <t>a =</t>
  </si>
  <si>
    <t>b =</t>
  </si>
  <si>
    <t>A =</t>
  </si>
  <si>
    <t>Labour</t>
  </si>
  <si>
    <r>
      <t>X</t>
    </r>
    <r>
      <rPr>
        <b/>
        <vertAlign val="subscript"/>
        <sz val="10"/>
        <rFont val="Times New Roman"/>
        <family val="1"/>
      </rPr>
      <t>2</t>
    </r>
  </si>
  <si>
    <r>
      <t>X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</t>
    </r>
  </si>
  <si>
    <t>Productivity curve</t>
  </si>
  <si>
    <t>wage =</t>
  </si>
  <si>
    <t>c =</t>
  </si>
  <si>
    <t>capital cost</t>
  </si>
  <si>
    <t>unit price</t>
  </si>
  <si>
    <t>Reference data</t>
  </si>
  <si>
    <t>Q function</t>
  </si>
  <si>
    <t>Final results</t>
  </si>
  <si>
    <r>
      <t>estim X</t>
    </r>
    <r>
      <rPr>
        <b/>
        <vertAlign val="subscript"/>
        <sz val="10"/>
        <rFont val="Times New Roman"/>
        <family val="1"/>
      </rPr>
      <t>2</t>
    </r>
  </si>
  <si>
    <t>Item description</t>
  </si>
  <si>
    <t>formulas used</t>
  </si>
  <si>
    <t>Reference indicators</t>
  </si>
  <si>
    <t>Labour productivity</t>
  </si>
  <si>
    <t>Total traffic in minutes</t>
  </si>
  <si>
    <t>Definition of production function</t>
  </si>
  <si>
    <t>Unit cost per line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</si>
  <si>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known capital cost: US $ per year</t>
    </r>
  </si>
  <si>
    <t>Unit wage per employee</t>
  </si>
  <si>
    <r>
      <t>Exponent of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variable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</si>
  <si>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</si>
  <si>
    <r>
      <t>Exponent of 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variable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</si>
  <si>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1 - a</t>
    </r>
    <r>
      <rPr>
        <vertAlign val="subscript"/>
        <sz val="12"/>
        <rFont val="Times New Roman"/>
        <family val="1"/>
      </rPr>
      <t>0</t>
    </r>
  </si>
  <si>
    <r>
      <t>Constant of f(X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;X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</si>
  <si>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/a)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/b)</t>
    </r>
    <r>
      <rPr>
        <vertAlign val="superscript"/>
        <sz val="12"/>
        <rFont val="Times New Roman"/>
        <family val="1"/>
      </rPr>
      <t>b</t>
    </r>
  </si>
  <si>
    <t>Estimate of capital and operating cost</t>
  </si>
  <si>
    <t>Number of employees</t>
  </si>
  <si>
    <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1/b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a/b</t>
    </r>
  </si>
  <si>
    <t>Annual operating cost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</si>
  <si>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expected cost: US$/year</t>
    </r>
  </si>
  <si>
    <t>Annual capital cost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</si>
  <si>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expected cost: US $/year</t>
    </r>
  </si>
  <si>
    <t>Total annual expenses</t>
  </si>
  <si>
    <r>
      <t>Expected total expenses: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</si>
  <si>
    <t>Estimate total revenue</t>
  </si>
  <si>
    <t>Price to cost ratio</t>
  </si>
  <si>
    <t>Expected total revenue</t>
  </si>
  <si>
    <t>Checking final results</t>
  </si>
  <si>
    <t>Expected profit</t>
  </si>
  <si>
    <r>
      <t>P = calculated as: Y-C</t>
    </r>
    <r>
      <rPr>
        <vertAlign val="subscript"/>
        <sz val="12"/>
        <rFont val="Times New Roman"/>
        <family val="1"/>
      </rPr>
      <t>0</t>
    </r>
  </si>
  <si>
    <t>Profit/revenue</t>
  </si>
  <si>
    <t>Return = calculated as: P/Y</t>
  </si>
  <si>
    <t>Revenue/employee</t>
  </si>
  <si>
    <r>
      <t>Product = calculated as: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)/X</t>
    </r>
    <r>
      <rPr>
        <vertAlign val="subscript"/>
        <sz val="12"/>
        <rFont val="Times New Roman"/>
        <family val="1"/>
      </rPr>
      <t>2</t>
    </r>
  </si>
  <si>
    <r>
      <t>Product =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</si>
  <si>
    <t>Efficiency</t>
  </si>
  <si>
    <r>
      <t>Lines/employee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</si>
  <si>
    <t>Unit labour productivity</t>
  </si>
  <si>
    <t>average</t>
  </si>
  <si>
    <t>marginal</t>
  </si>
  <si>
    <t>NIGERIA CASE STUDY: NET PRODUCTIVITY PER EMPLOYEE</t>
  </si>
  <si>
    <t>1st attempt</t>
  </si>
  <si>
    <t>2nd attempt</t>
  </si>
  <si>
    <t>GSM service: the productivity approach</t>
  </si>
  <si>
    <t>NIGERIA CASE STUDY: PROVISIONAL BUDGET 2007</t>
  </si>
  <si>
    <t>The productivity approach: labour productivity 2007</t>
  </si>
  <si>
    <r>
      <t>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+ (1+ 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)*(1-a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</si>
  <si>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t>Lines operated</t>
  </si>
  <si>
    <r>
      <t>N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lines connected</t>
    </r>
  </si>
  <si>
    <t>Unit consumption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</si>
  <si>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minutes per year</t>
    </r>
  </si>
  <si>
    <t>Operating &amp; Capital cost</t>
  </si>
  <si>
    <t>Unit cost per minute</t>
  </si>
  <si>
    <r>
      <t>Y = calculated as: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*Q</t>
    </r>
    <r>
      <rPr>
        <vertAlign val="subscript"/>
        <sz val="12"/>
        <rFont val="Times New Roman"/>
        <family val="1"/>
      </rPr>
      <t>0</t>
    </r>
  </si>
  <si>
    <r>
      <t>best X</t>
    </r>
    <r>
      <rPr>
        <b/>
        <vertAlign val="subscript"/>
        <sz val="10"/>
        <rFont val="Times New Roman"/>
        <family val="1"/>
      </rPr>
      <t>2M</t>
    </r>
  </si>
  <si>
    <r>
      <t>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wanted ratio revenue/operatng cost</t>
    </r>
  </si>
  <si>
    <t>Unit price per minute</t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</si>
  <si>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/Q</t>
    </r>
    <r>
      <rPr>
        <vertAlign val="subscript"/>
        <sz val="12"/>
        <rFont val="Times New Roman"/>
        <family val="1"/>
      </rPr>
      <t>0</t>
    </r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</si>
  <si>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*m</t>
    </r>
    <r>
      <rPr>
        <vertAlign val="subscript"/>
        <sz val="12"/>
        <rFont val="Times New Roman"/>
        <family val="1"/>
      </rPr>
      <t>0</t>
    </r>
  </si>
  <si>
    <t>Estimate efficiency</t>
  </si>
  <si>
    <t>Provisional</t>
  </si>
  <si>
    <t>Adjusted</t>
  </si>
  <si>
    <t>revenue</t>
  </si>
  <si>
    <r>
      <t>R</t>
    </r>
    <r>
      <rPr>
        <b/>
        <sz val="10"/>
        <rFont val="Times New Roman"/>
        <family val="1"/>
      </rPr>
      <t xml:space="preserve"> =</t>
    </r>
  </si>
  <si>
    <r>
      <t>prod X</t>
    </r>
    <r>
      <rPr>
        <b/>
        <vertAlign val="subscript"/>
        <sz val="10"/>
        <rFont val="Times New Roman"/>
        <family val="1"/>
      </rPr>
      <t>20</t>
    </r>
  </si>
  <si>
    <r>
      <t>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/X</t>
    </r>
    <r>
      <rPr>
        <b/>
        <vertAlign val="subscript"/>
        <sz val="10"/>
        <rFont val="Times New Roman"/>
        <family val="1"/>
      </rPr>
      <t>20</t>
    </r>
  </si>
  <si>
    <t>price/cost</t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</si>
  <si>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*N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expected total consumption</t>
    </r>
  </si>
  <si>
    <r>
      <t>k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X1/X2 = ratio lines/employee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</si>
  <si>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annual expenses =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/k</t>
    </r>
    <r>
      <rPr>
        <vertAlign val="subscript"/>
        <sz val="12"/>
        <rFont val="Times New Roman"/>
        <family val="1"/>
      </rPr>
      <t>0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</si>
  <si>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=operating expenses: US$/employee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</si>
</sst>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0.0000000"/>
    <numFmt numFmtId="168" formatCode="0.00000000000000000"/>
    <numFmt numFmtId="169" formatCode="0.E+00"/>
    <numFmt numFmtId="170" formatCode="0.000000000000"/>
    <numFmt numFmtId="171" formatCode="0.0000000000"/>
    <numFmt numFmtId="172" formatCode="0.00000000000"/>
    <numFmt numFmtId="173" formatCode="0.000E+00"/>
    <numFmt numFmtId="174" formatCode="#,##0.0000"/>
    <numFmt numFmtId="175" formatCode="0.0000E+00"/>
    <numFmt numFmtId="176" formatCode="0.0000%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169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6" fontId="1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product07!$A$7:$A$31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product07!$D$7:$D$31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product07!$A$7:$A$31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product07!$E$7:$E$31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108899"/>
        <c:axId val="18980092"/>
      </c:scatterChart>
      <c:valAx>
        <c:axId val="2108899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80092"/>
        <c:crosses val="autoZero"/>
        <c:crossBetween val="midCat"/>
        <c:dispUnits/>
      </c:valAx>
      <c:valAx>
        <c:axId val="1898009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0.71125</cdr:x>
      <cdr:y>0.17275</cdr:y>
    </cdr:from>
    <cdr:to>
      <cdr:x>0.888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581025"/>
          <a:ext cx="10287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 productivity</a:t>
          </a:r>
        </a:p>
      </cdr:txBody>
    </cdr:sp>
  </cdr:relSizeAnchor>
  <cdr:relSizeAnchor xmlns:cdr="http://schemas.openxmlformats.org/drawingml/2006/chartDrawing">
    <cdr:from>
      <cdr:x>0.141</cdr:x>
      <cdr:y>0.17275</cdr:y>
    </cdr:from>
    <cdr:to>
      <cdr:x>0.32275</cdr:x>
      <cdr:y>0.22025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581025"/>
          <a:ext cx="105727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marginal productivity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14</xdr:col>
      <xdr:colOff>0</xdr:colOff>
      <xdr:row>24</xdr:row>
      <xdr:rowOff>152400</xdr:rowOff>
    </xdr:to>
    <xdr:graphicFrame>
      <xdr:nvGraphicFramePr>
        <xdr:cNvPr id="1" name="Chart 16"/>
        <xdr:cNvGraphicFramePr/>
      </xdr:nvGraphicFramePr>
      <xdr:xfrm>
        <a:off x="4352925" y="733425"/>
        <a:ext cx="5819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24.7109375" style="0" customWidth="1"/>
    <col min="2" max="3" width="15.57421875" style="0" customWidth="1"/>
    <col min="4" max="4" width="40.7109375" style="0" customWidth="1"/>
  </cols>
  <sheetData>
    <row r="1" spans="1:4" ht="19.5">
      <c r="A1" s="38" t="s">
        <v>59</v>
      </c>
      <c r="B1" s="38"/>
      <c r="C1" s="38"/>
      <c r="D1" s="38"/>
    </row>
    <row r="2" spans="1:4" ht="15.75">
      <c r="A2" s="39" t="s">
        <v>58</v>
      </c>
      <c r="B2" s="39"/>
      <c r="C2" s="39"/>
      <c r="D2" s="39"/>
    </row>
    <row r="3" spans="1:4" ht="19.5">
      <c r="A3" s="13"/>
      <c r="B3" s="13"/>
      <c r="C3" s="13"/>
      <c r="D3" s="13"/>
    </row>
    <row r="4" spans="1:4" ht="15.75">
      <c r="A4" s="14" t="s">
        <v>17</v>
      </c>
      <c r="B4" s="15"/>
      <c r="C4" s="15"/>
      <c r="D4" s="15"/>
    </row>
    <row r="5" spans="1:4" ht="15.75">
      <c r="A5" s="25" t="s">
        <v>15</v>
      </c>
      <c r="B5" s="25" t="s">
        <v>56</v>
      </c>
      <c r="C5" s="25" t="s">
        <v>57</v>
      </c>
      <c r="D5" s="25" t="s">
        <v>16</v>
      </c>
    </row>
    <row r="6" spans="1:4" ht="18.75">
      <c r="A6" s="31" t="s">
        <v>62</v>
      </c>
      <c r="B6" s="32">
        <v>274640</v>
      </c>
      <c r="C6" s="32">
        <v>274640</v>
      </c>
      <c r="D6" s="31" t="s">
        <v>63</v>
      </c>
    </row>
    <row r="7" spans="1:4" ht="18.75">
      <c r="A7" s="16" t="s">
        <v>64</v>
      </c>
      <c r="B7" s="17">
        <v>5920</v>
      </c>
      <c r="C7" s="17">
        <f>(-0.002494*B23^3+12.47*B23^2+15080*B23+C6*C15)/C6/B32</f>
        <v>5872.079712331452</v>
      </c>
      <c r="D7" s="16" t="s">
        <v>65</v>
      </c>
    </row>
    <row r="8" spans="1:4" ht="18.75">
      <c r="A8" s="16" t="s">
        <v>19</v>
      </c>
      <c r="B8" s="33">
        <f>B6*B7</f>
        <v>1625868800</v>
      </c>
      <c r="C8" s="33">
        <f>C6*C7</f>
        <v>1612707972.19471</v>
      </c>
      <c r="D8" s="16" t="s">
        <v>82</v>
      </c>
    </row>
    <row r="9" spans="1:4" ht="18.75">
      <c r="A9" s="16" t="s">
        <v>18</v>
      </c>
      <c r="B9" s="20">
        <v>0.3</v>
      </c>
      <c r="C9" s="20">
        <v>0.3</v>
      </c>
      <c r="D9" s="16" t="s">
        <v>70</v>
      </c>
    </row>
    <row r="10" spans="1:4" ht="18.75">
      <c r="A10" s="16" t="s">
        <v>74</v>
      </c>
      <c r="B10" s="26">
        <v>85</v>
      </c>
      <c r="C10" s="26">
        <v>85</v>
      </c>
      <c r="D10" s="16" t="s">
        <v>83</v>
      </c>
    </row>
    <row r="11" spans="1:4" ht="18.75">
      <c r="A11" s="16" t="s">
        <v>66</v>
      </c>
      <c r="B11" s="17">
        <f>B6*B15+B6*B16/B10</f>
        <v>203395152.94117647</v>
      </c>
      <c r="C11" s="17">
        <f>C6*C15+C6*C16/C10</f>
        <v>203395152.94117647</v>
      </c>
      <c r="D11" s="16" t="s">
        <v>84</v>
      </c>
    </row>
    <row r="13" spans="1:4" ht="15.75">
      <c r="A13" s="19" t="s">
        <v>20</v>
      </c>
      <c r="B13" s="18"/>
      <c r="C13" s="18"/>
      <c r="D13" s="18"/>
    </row>
    <row r="14" spans="1:4" ht="15.75">
      <c r="A14" s="25" t="s">
        <v>15</v>
      </c>
      <c r="B14" s="25" t="s">
        <v>56</v>
      </c>
      <c r="C14" s="25" t="s">
        <v>57</v>
      </c>
      <c r="D14" s="25" t="s">
        <v>16</v>
      </c>
    </row>
    <row r="15" spans="1:4" ht="18.75">
      <c r="A15" s="16" t="s">
        <v>21</v>
      </c>
      <c r="B15" s="16">
        <v>470</v>
      </c>
      <c r="C15" s="16">
        <v>470</v>
      </c>
      <c r="D15" s="16" t="s">
        <v>22</v>
      </c>
    </row>
    <row r="16" spans="1:4" ht="18.75">
      <c r="A16" s="16" t="s">
        <v>23</v>
      </c>
      <c r="B16" s="17">
        <v>23000</v>
      </c>
      <c r="C16" s="17">
        <v>23000</v>
      </c>
      <c r="D16" s="16" t="s">
        <v>85</v>
      </c>
    </row>
    <row r="17" spans="1:4" ht="18.75">
      <c r="A17" s="16" t="s">
        <v>24</v>
      </c>
      <c r="B17" s="22">
        <f>B6*B15/B11</f>
        <v>0.6346306592533757</v>
      </c>
      <c r="C17" s="22">
        <f>C6*C15/C11</f>
        <v>0.6346306592533757</v>
      </c>
      <c r="D17" s="16" t="s">
        <v>25</v>
      </c>
    </row>
    <row r="18" spans="1:4" ht="18.75">
      <c r="A18" s="16" t="s">
        <v>26</v>
      </c>
      <c r="B18" s="22">
        <f>1-B17</f>
        <v>0.3653693407466243</v>
      </c>
      <c r="C18" s="22">
        <f>1-C17</f>
        <v>0.3653693407466243</v>
      </c>
      <c r="D18" s="16" t="s">
        <v>27</v>
      </c>
    </row>
    <row r="19" spans="1:4" ht="20.25">
      <c r="A19" s="16" t="s">
        <v>28</v>
      </c>
      <c r="B19" s="17">
        <f>(B8/B11)*((B15/B17)^B17)*(B16/B18)^(1-B17)</f>
        <v>30010.430652431936</v>
      </c>
      <c r="C19" s="17">
        <f>(C8/C11)*((C15/C17)^C17)*(C16/C18)^(1-C17)</f>
        <v>29767.506924404646</v>
      </c>
      <c r="D19" s="16" t="s">
        <v>29</v>
      </c>
    </row>
    <row r="20" spans="1:4" ht="15.75">
      <c r="A20" s="18"/>
      <c r="B20" s="21"/>
      <c r="C20" s="21"/>
      <c r="D20" s="18"/>
    </row>
    <row r="21" ht="15.75">
      <c r="A21" s="14" t="s">
        <v>30</v>
      </c>
    </row>
    <row r="22" spans="1:4" ht="15.75">
      <c r="A22" s="25" t="s">
        <v>15</v>
      </c>
      <c r="B22" s="25" t="s">
        <v>56</v>
      </c>
      <c r="C22" s="25" t="s">
        <v>57</v>
      </c>
      <c r="D22" s="25" t="s">
        <v>16</v>
      </c>
    </row>
    <row r="23" spans="1:4" ht="20.25">
      <c r="A23" s="16" t="s">
        <v>31</v>
      </c>
      <c r="B23" s="17">
        <f>((B8/B19)^(1/B18))*((B15/B17/B11)^(B17/B18))</f>
        <v>3231.0588235294017</v>
      </c>
      <c r="C23" s="17">
        <f>((C8/C19)^(1/C18))*((C15/C17/C11)^(C17/C18))</f>
        <v>3231.0588235294017</v>
      </c>
      <c r="D23" s="16" t="s">
        <v>32</v>
      </c>
    </row>
    <row r="24" spans="1:4" ht="18.75">
      <c r="A24" s="16" t="s">
        <v>33</v>
      </c>
      <c r="B24" s="17">
        <f>B16*B23</f>
        <v>74314352.94117624</v>
      </c>
      <c r="C24" s="17">
        <f>C16*C23</f>
        <v>74314352.94117624</v>
      </c>
      <c r="D24" s="16" t="s">
        <v>34</v>
      </c>
    </row>
    <row r="25" spans="1:4" ht="18.75">
      <c r="A25" s="16" t="s">
        <v>35</v>
      </c>
      <c r="B25" s="17">
        <f>B6*B15</f>
        <v>129080800</v>
      </c>
      <c r="C25" s="17">
        <f>C6*C15</f>
        <v>129080800</v>
      </c>
      <c r="D25" s="16" t="s">
        <v>36</v>
      </c>
    </row>
    <row r="26" spans="1:4" ht="18.75">
      <c r="A26" s="16" t="s">
        <v>37</v>
      </c>
      <c r="B26" s="17">
        <f>B24+B25</f>
        <v>203395152.94117624</v>
      </c>
      <c r="C26" s="17">
        <f>C24+C25</f>
        <v>203395152.94117624</v>
      </c>
      <c r="D26" s="16" t="s">
        <v>38</v>
      </c>
    </row>
    <row r="27" spans="1:4" ht="15.75">
      <c r="A27" s="18"/>
      <c r="B27" s="21"/>
      <c r="C27" s="21"/>
      <c r="D27" s="18"/>
    </row>
    <row r="28" spans="1:3" ht="15.75">
      <c r="A28" s="19" t="s">
        <v>39</v>
      </c>
      <c r="B28" s="21"/>
      <c r="C28" s="21"/>
    </row>
    <row r="29" spans="1:4" ht="15.75">
      <c r="A29" s="25" t="s">
        <v>15</v>
      </c>
      <c r="B29" s="25" t="s">
        <v>56</v>
      </c>
      <c r="C29" s="25" t="s">
        <v>57</v>
      </c>
      <c r="D29" s="25" t="s">
        <v>16</v>
      </c>
    </row>
    <row r="30" spans="1:4" ht="18.75">
      <c r="A30" s="16" t="s">
        <v>67</v>
      </c>
      <c r="B30" s="22">
        <f>B26/B8</f>
        <v>0.12509936406995217</v>
      </c>
      <c r="C30" s="22">
        <f>C26/C8</f>
        <v>0.12612026259433617</v>
      </c>
      <c r="D30" s="16" t="s">
        <v>72</v>
      </c>
    </row>
    <row r="31" spans="1:4" ht="18.75">
      <c r="A31" s="16" t="s">
        <v>40</v>
      </c>
      <c r="B31" s="22">
        <f>B17+(1+B9)*(1-B17)</f>
        <v>1.1096108022239872</v>
      </c>
      <c r="C31" s="22">
        <f>product07!N30</f>
        <v>1.1006288987032609</v>
      </c>
      <c r="D31" s="16" t="s">
        <v>61</v>
      </c>
    </row>
    <row r="32" spans="1:4" ht="18.75">
      <c r="A32" s="16" t="s">
        <v>71</v>
      </c>
      <c r="B32" s="22">
        <f>B30*B31</f>
        <v>0.13881160572337028</v>
      </c>
      <c r="C32" s="22">
        <f>C30*C31</f>
        <v>0.13881160572337028</v>
      </c>
      <c r="D32" s="16" t="s">
        <v>73</v>
      </c>
    </row>
    <row r="33" spans="1:4" ht="18.75">
      <c r="A33" s="16" t="s">
        <v>41</v>
      </c>
      <c r="B33" s="17">
        <f>B8*B32</f>
        <v>225689458.82352918</v>
      </c>
      <c r="C33" s="17">
        <f>C8*C32</f>
        <v>223862583.1832281</v>
      </c>
      <c r="D33" s="16" t="s">
        <v>68</v>
      </c>
    </row>
    <row r="34" spans="1:4" ht="15.75">
      <c r="A34" s="18"/>
      <c r="B34" s="21"/>
      <c r="C34" s="21"/>
      <c r="D34" s="18"/>
    </row>
    <row r="35" spans="1:4" ht="15.75">
      <c r="A35" s="14" t="s">
        <v>42</v>
      </c>
      <c r="B35" s="23"/>
      <c r="C35" s="23"/>
      <c r="D35" s="23"/>
    </row>
    <row r="36" spans="1:4" ht="15.75">
      <c r="A36" s="25" t="s">
        <v>15</v>
      </c>
      <c r="B36" s="25" t="s">
        <v>56</v>
      </c>
      <c r="C36" s="25" t="s">
        <v>57</v>
      </c>
      <c r="D36" s="25" t="s">
        <v>16</v>
      </c>
    </row>
    <row r="37" spans="1:4" ht="18.75">
      <c r="A37" s="34" t="s">
        <v>43</v>
      </c>
      <c r="B37" s="32">
        <f>B33-B26</f>
        <v>22294305.88235295</v>
      </c>
      <c r="C37" s="32">
        <f>C33-C26</f>
        <v>20467430.24205187</v>
      </c>
      <c r="D37" s="34" t="s">
        <v>44</v>
      </c>
    </row>
    <row r="38" spans="1:4" ht="15.75">
      <c r="A38" s="34" t="s">
        <v>45</v>
      </c>
      <c r="B38" s="35">
        <f>B37/B33</f>
        <v>0.09878310665712253</v>
      </c>
      <c r="C38" s="35">
        <f>C37/C33</f>
        <v>0.09142854491810984</v>
      </c>
      <c r="D38" s="34" t="s">
        <v>46</v>
      </c>
    </row>
    <row r="39" spans="1:4" ht="18.75">
      <c r="A39" s="34" t="s">
        <v>47</v>
      </c>
      <c r="B39" s="32">
        <f>(B33-B25)/B23</f>
        <v>29900.000000000022</v>
      </c>
      <c r="C39" s="32">
        <f>(C33-C25)/C23</f>
        <v>29334.58917337028</v>
      </c>
      <c r="D39" s="34" t="s">
        <v>48</v>
      </c>
    </row>
    <row r="40" spans="1:4" ht="18.75">
      <c r="A40" s="16" t="s">
        <v>18</v>
      </c>
      <c r="B40" s="20">
        <f>(B33-B25)/B24-1</f>
        <v>0.30000000000000093</v>
      </c>
      <c r="C40" s="20">
        <f>(C33-C25)/C24-1</f>
        <v>0.2754169205813166</v>
      </c>
      <c r="D40" s="16" t="s">
        <v>49</v>
      </c>
    </row>
    <row r="41" spans="1:4" ht="18.75">
      <c r="A41" s="16" t="s">
        <v>50</v>
      </c>
      <c r="B41" s="26">
        <f>B6/B23</f>
        <v>85.00000000000027</v>
      </c>
      <c r="C41" s="26">
        <f>C6/C23</f>
        <v>85.00000000000027</v>
      </c>
      <c r="D41" s="16" t="s">
        <v>51</v>
      </c>
    </row>
  </sheetData>
  <mergeCells count="2">
    <mergeCell ref="A1:D1"/>
    <mergeCell ref="A2:D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84" r:id="rId1"/>
  <headerFooter alignWithMargins="0">
    <oddHeader>&amp;R&amp;"Arial,Grassetto"&amp;11ANNEX 16A</oddHeader>
    <oddFooter>&amp;L&amp;8&amp;F/&amp;A&amp;R&amp;8&amp;D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8.28125" style="0" customWidth="1"/>
    <col min="2" max="3" width="14.421875" style="0" customWidth="1"/>
    <col min="4" max="5" width="10.7109375" style="0" customWidth="1"/>
    <col min="6" max="6" width="6.7109375" style="0" customWidth="1"/>
    <col min="8" max="8" width="10.28125" style="0" bestFit="1" customWidth="1"/>
    <col min="9" max="9" width="13.140625" style="0" customWidth="1"/>
    <col min="10" max="10" width="12.7109375" style="0" customWidth="1"/>
    <col min="11" max="11" width="9.421875" style="0" customWidth="1"/>
    <col min="12" max="12" width="11.7109375" style="0" customWidth="1"/>
    <col min="13" max="13" width="10.140625" style="0" bestFit="1" customWidth="1"/>
    <col min="14" max="14" width="10.7109375" style="0" customWidth="1"/>
    <col min="16" max="16" width="12.421875" style="0" bestFit="1" customWidth="1"/>
  </cols>
  <sheetData>
    <row r="1" spans="1:13" ht="19.5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2.75">
      <c r="F3" s="1"/>
    </row>
    <row r="4" ht="12.75">
      <c r="F4" s="1"/>
    </row>
    <row r="5" spans="1:7" ht="12.75">
      <c r="A5" s="10" t="s">
        <v>3</v>
      </c>
      <c r="B5" s="10" t="s">
        <v>75</v>
      </c>
      <c r="C5" s="36" t="s">
        <v>76</v>
      </c>
      <c r="D5" s="41" t="s">
        <v>52</v>
      </c>
      <c r="E5" s="42"/>
      <c r="F5" s="1"/>
      <c r="G5" s="3"/>
    </row>
    <row r="6" spans="1:6" ht="14.25">
      <c r="A6" s="7" t="s">
        <v>4</v>
      </c>
      <c r="B6" s="7" t="s">
        <v>77</v>
      </c>
      <c r="C6" s="7" t="s">
        <v>77</v>
      </c>
      <c r="D6" s="7" t="s">
        <v>53</v>
      </c>
      <c r="E6" s="7" t="s">
        <v>54</v>
      </c>
      <c r="F6" s="1"/>
    </row>
    <row r="7" spans="1:14" ht="12.75">
      <c r="A7" s="4">
        <v>1000</v>
      </c>
      <c r="B7" s="5">
        <f aca="true" t="shared" si="0" ref="B7:B31">$J$28*$H$31*($H$28^$H$29)*(A7^$H$30)</f>
        <v>147032139.81234458</v>
      </c>
      <c r="C7" s="5">
        <f>-0.002494*A7^3+12.47*A7^2+15080*A7+$J$29</f>
        <v>154136800</v>
      </c>
      <c r="D7" s="5"/>
      <c r="E7" s="6"/>
      <c r="N7" s="2"/>
    </row>
    <row r="8" spans="1:14" ht="12.75">
      <c r="A8" s="4">
        <f>A7+100</f>
        <v>1100</v>
      </c>
      <c r="B8" s="5">
        <f t="shared" si="0"/>
        <v>152242496.09174642</v>
      </c>
      <c r="C8" s="5">
        <f aca="true" t="shared" si="1" ref="C8:C31">-0.002494*A8^3+12.47*A8^2+15080*A8+$J$29</f>
        <v>157437986</v>
      </c>
      <c r="D8" s="5"/>
      <c r="E8" s="6"/>
      <c r="N8" s="2"/>
    </row>
    <row r="9" spans="1:14" ht="12.75">
      <c r="A9" s="4">
        <f aca="true" t="shared" si="2" ref="A9:A31">A8+100</f>
        <v>1200</v>
      </c>
      <c r="B9" s="5">
        <f t="shared" si="0"/>
        <v>157160237.84291077</v>
      </c>
      <c r="C9" s="5">
        <f t="shared" si="1"/>
        <v>160823968</v>
      </c>
      <c r="D9" s="30">
        <f>(C9-$J$29)/A9</f>
        <v>26452.64</v>
      </c>
      <c r="E9" s="6"/>
      <c r="N9" s="2"/>
    </row>
    <row r="10" spans="1:14" ht="12.75">
      <c r="A10" s="4">
        <f t="shared" si="2"/>
        <v>1300</v>
      </c>
      <c r="B10" s="5">
        <f t="shared" si="0"/>
        <v>161824280.68502253</v>
      </c>
      <c r="C10" s="5">
        <f t="shared" si="1"/>
        <v>164279782</v>
      </c>
      <c r="D10" s="30">
        <f>(C10-$J$29)/A10</f>
        <v>27076.14</v>
      </c>
      <c r="E10" s="5">
        <f>3*$L$28*A10^2+2*$L$29*A10+$L$30</f>
        <v>34857.42</v>
      </c>
      <c r="N10" s="2"/>
    </row>
    <row r="11" spans="1:14" ht="12.75">
      <c r="A11" s="4">
        <f t="shared" si="2"/>
        <v>1400</v>
      </c>
      <c r="B11" s="5">
        <f t="shared" si="0"/>
        <v>166265821.23543277</v>
      </c>
      <c r="C11" s="5">
        <f t="shared" si="1"/>
        <v>167790464</v>
      </c>
      <c r="D11" s="30">
        <f>(C11-$J$29)/A11</f>
        <v>27649.76</v>
      </c>
      <c r="E11" s="5">
        <f>3*$L$28*A11^2+2*$L$29*A11+$L$30</f>
        <v>35331.28</v>
      </c>
      <c r="N11" s="2"/>
    </row>
    <row r="12" spans="1:14" ht="12.75">
      <c r="A12" s="4">
        <f t="shared" si="2"/>
        <v>1500</v>
      </c>
      <c r="B12" s="5">
        <f t="shared" si="0"/>
        <v>170510302.53194746</v>
      </c>
      <c r="C12" s="5">
        <f t="shared" si="1"/>
        <v>171341050</v>
      </c>
      <c r="D12" s="30">
        <f>(C12-$J$29)/A12</f>
        <v>28173.5</v>
      </c>
      <c r="E12" s="5">
        <f>3*$L$28*A12^2+2*$L$29*A12+$L$30</f>
        <v>35655.5</v>
      </c>
      <c r="N12" s="2"/>
    </row>
    <row r="13" spans="1:14" ht="12.75">
      <c r="A13" s="4">
        <f t="shared" si="2"/>
        <v>1600</v>
      </c>
      <c r="B13" s="5">
        <f t="shared" si="0"/>
        <v>174578782.81833163</v>
      </c>
      <c r="C13" s="5">
        <f t="shared" si="1"/>
        <v>174916576</v>
      </c>
      <c r="D13" s="30">
        <f>(C13-$J$29)/A13</f>
        <v>28647.36</v>
      </c>
      <c r="E13" s="5">
        <f aca="true" t="shared" si="3" ref="E13:E25">3*$L$28*A13^2+2*$L$29*A13+$L$30</f>
        <v>35830.08</v>
      </c>
      <c r="N13" s="2"/>
    </row>
    <row r="14" spans="1:14" ht="12.75">
      <c r="A14" s="4">
        <f t="shared" si="2"/>
        <v>1700</v>
      </c>
      <c r="B14" s="5">
        <f t="shared" si="0"/>
        <v>178488914.44333</v>
      </c>
      <c r="C14" s="5">
        <f t="shared" si="1"/>
        <v>178502078</v>
      </c>
      <c r="D14" s="30">
        <f aca="true" t="shared" si="4" ref="D14:D28">(C14-$J$29)/A14</f>
        <v>29071.34</v>
      </c>
      <c r="E14" s="5">
        <f t="shared" si="3"/>
        <v>35855.02</v>
      </c>
      <c r="N14" s="2"/>
    </row>
    <row r="15" spans="1:14" ht="12.75">
      <c r="A15" s="4">
        <f t="shared" si="2"/>
        <v>1800</v>
      </c>
      <c r="B15" s="5">
        <f t="shared" si="0"/>
        <v>182255660.1215815</v>
      </c>
      <c r="C15" s="5">
        <f t="shared" si="1"/>
        <v>182082592</v>
      </c>
      <c r="D15" s="30">
        <f t="shared" si="4"/>
        <v>29445.44</v>
      </c>
      <c r="E15" s="5">
        <f t="shared" si="3"/>
        <v>35730.31999999999</v>
      </c>
      <c r="N15" s="2"/>
    </row>
    <row r="16" spans="1:14" ht="12.75">
      <c r="A16" s="4">
        <f t="shared" si="2"/>
        <v>1900</v>
      </c>
      <c r="B16" s="5">
        <f t="shared" si="0"/>
        <v>185891827.56561023</v>
      </c>
      <c r="C16" s="5">
        <f t="shared" si="1"/>
        <v>185643154</v>
      </c>
      <c r="D16" s="30">
        <f t="shared" si="4"/>
        <v>29769.66</v>
      </c>
      <c r="E16" s="5">
        <f t="shared" si="3"/>
        <v>35455.979999999996</v>
      </c>
      <c r="N16" s="2"/>
    </row>
    <row r="17" spans="1:14" ht="12.75">
      <c r="A17" s="4">
        <f t="shared" si="2"/>
        <v>2000</v>
      </c>
      <c r="B17" s="5">
        <f t="shared" si="0"/>
        <v>189408475.5952515</v>
      </c>
      <c r="C17" s="5">
        <f t="shared" si="1"/>
        <v>189168800</v>
      </c>
      <c r="D17" s="30">
        <f t="shared" si="4"/>
        <v>30044</v>
      </c>
      <c r="E17" s="5">
        <f t="shared" si="3"/>
        <v>35032</v>
      </c>
      <c r="N17" s="2"/>
    </row>
    <row r="18" spans="1:14" ht="12.75">
      <c r="A18" s="4">
        <f t="shared" si="2"/>
        <v>2100</v>
      </c>
      <c r="B18" s="5">
        <f t="shared" si="0"/>
        <v>192815227.44455168</v>
      </c>
      <c r="C18" s="5">
        <f t="shared" si="1"/>
        <v>192644566</v>
      </c>
      <c r="D18" s="30">
        <f t="shared" si="4"/>
        <v>30268.46</v>
      </c>
      <c r="E18" s="5">
        <f t="shared" si="3"/>
        <v>34458.38</v>
      </c>
      <c r="N18" s="2"/>
    </row>
    <row r="19" spans="1:14" ht="12.75">
      <c r="A19" s="4">
        <f t="shared" si="2"/>
        <v>2200</v>
      </c>
      <c r="B19" s="5">
        <f t="shared" si="0"/>
        <v>196120515.84338492</v>
      </c>
      <c r="C19" s="5">
        <f t="shared" si="1"/>
        <v>196055488</v>
      </c>
      <c r="D19" s="30">
        <f t="shared" si="4"/>
        <v>30443.04</v>
      </c>
      <c r="E19" s="5">
        <f t="shared" si="3"/>
        <v>33735.119999999995</v>
      </c>
      <c r="N19" s="2"/>
    </row>
    <row r="20" spans="1:14" ht="12.75">
      <c r="A20" s="4">
        <f t="shared" si="2"/>
        <v>2300</v>
      </c>
      <c r="B20" s="5">
        <f t="shared" si="0"/>
        <v>199331777.12937066</v>
      </c>
      <c r="C20" s="5">
        <f t="shared" si="1"/>
        <v>199386602</v>
      </c>
      <c r="D20" s="30">
        <f t="shared" si="4"/>
        <v>30567.74</v>
      </c>
      <c r="E20" s="5">
        <f t="shared" si="3"/>
        <v>32862.219999999994</v>
      </c>
      <c r="N20" s="2"/>
    </row>
    <row r="21" spans="1:14" ht="12.75">
      <c r="A21" s="4">
        <f t="shared" si="2"/>
        <v>2400</v>
      </c>
      <c r="B21" s="5">
        <f t="shared" si="0"/>
        <v>202455606.7265617</v>
      </c>
      <c r="C21" s="5">
        <f t="shared" si="1"/>
        <v>202622944</v>
      </c>
      <c r="D21" s="30">
        <f t="shared" si="4"/>
        <v>30642.56</v>
      </c>
      <c r="E21" s="5">
        <f t="shared" si="3"/>
        <v>31839.679999999993</v>
      </c>
      <c r="N21" s="2"/>
    </row>
    <row r="22" spans="1:14" ht="12.75">
      <c r="A22" s="4">
        <f t="shared" si="2"/>
        <v>2500</v>
      </c>
      <c r="B22" s="5">
        <f t="shared" si="0"/>
        <v>205497884.95575348</v>
      </c>
      <c r="C22" s="5">
        <f t="shared" si="1"/>
        <v>205749550</v>
      </c>
      <c r="D22" s="30">
        <f t="shared" si="4"/>
        <v>30667.5</v>
      </c>
      <c r="E22" s="5">
        <f t="shared" si="3"/>
        <v>30667.499999999993</v>
      </c>
      <c r="N22" s="2"/>
    </row>
    <row r="23" spans="1:14" ht="12.75">
      <c r="A23" s="4">
        <f t="shared" si="2"/>
        <v>2600</v>
      </c>
      <c r="B23" s="5">
        <f t="shared" si="0"/>
        <v>208463879.78823948</v>
      </c>
      <c r="C23" s="5">
        <f t="shared" si="1"/>
        <v>208751456</v>
      </c>
      <c r="D23" s="30">
        <f t="shared" si="4"/>
        <v>30642.56</v>
      </c>
      <c r="E23" s="5">
        <f t="shared" si="3"/>
        <v>29345.679999999993</v>
      </c>
      <c r="N23" s="2"/>
    </row>
    <row r="24" spans="1:16" ht="12.75">
      <c r="A24" s="4">
        <f t="shared" si="2"/>
        <v>2700</v>
      </c>
      <c r="B24" s="5">
        <f t="shared" si="0"/>
        <v>211358331.48557302</v>
      </c>
      <c r="C24" s="5">
        <f t="shared" si="1"/>
        <v>211613698</v>
      </c>
      <c r="D24" s="30">
        <f t="shared" si="4"/>
        <v>30567.74</v>
      </c>
      <c r="E24" s="5">
        <f t="shared" si="3"/>
        <v>27874.219999999994</v>
      </c>
      <c r="N24" s="2"/>
      <c r="P24" s="28"/>
    </row>
    <row r="25" spans="1:14" ht="12.75">
      <c r="A25" s="4">
        <f t="shared" si="2"/>
        <v>2800</v>
      </c>
      <c r="B25" s="5">
        <f t="shared" si="0"/>
        <v>214185522.86587802</v>
      </c>
      <c r="C25" s="5">
        <f t="shared" si="1"/>
        <v>214321312</v>
      </c>
      <c r="D25" s="30">
        <f t="shared" si="4"/>
        <v>30443.04</v>
      </c>
      <c r="E25" s="5">
        <f t="shared" si="3"/>
        <v>26253.119999999995</v>
      </c>
      <c r="N25" s="2"/>
    </row>
    <row r="26" spans="1:16" ht="12.75">
      <c r="A26" s="4">
        <f t="shared" si="2"/>
        <v>2900</v>
      </c>
      <c r="B26" s="5">
        <f t="shared" si="0"/>
        <v>216949338.05977178</v>
      </c>
      <c r="C26" s="5">
        <f t="shared" si="1"/>
        <v>216859334</v>
      </c>
      <c r="D26" s="30">
        <f t="shared" si="4"/>
        <v>30268.46</v>
      </c>
      <c r="E26" s="6"/>
      <c r="N26" s="2"/>
      <c r="P26" s="28"/>
    </row>
    <row r="27" spans="1:16" ht="12.75">
      <c r="A27" s="4">
        <f t="shared" si="2"/>
        <v>3000</v>
      </c>
      <c r="B27" s="5">
        <f t="shared" si="0"/>
        <v>219653311.97029743</v>
      </c>
      <c r="C27" s="5">
        <f t="shared" si="1"/>
        <v>219212800</v>
      </c>
      <c r="D27" s="30">
        <f t="shared" si="4"/>
        <v>30044</v>
      </c>
      <c r="E27" s="6"/>
      <c r="G27" s="41" t="s">
        <v>12</v>
      </c>
      <c r="H27" s="42"/>
      <c r="I27" s="41" t="s">
        <v>11</v>
      </c>
      <c r="J27" s="42"/>
      <c r="K27" s="41" t="s">
        <v>6</v>
      </c>
      <c r="L27" s="42"/>
      <c r="M27" s="43" t="s">
        <v>13</v>
      </c>
      <c r="N27" s="44"/>
      <c r="P27" s="28"/>
    </row>
    <row r="28" spans="1:16" ht="14.25">
      <c r="A28" s="4">
        <f t="shared" si="2"/>
        <v>3100</v>
      </c>
      <c r="B28" s="5">
        <f t="shared" si="0"/>
        <v>222300672.16614702</v>
      </c>
      <c r="C28" s="5">
        <f t="shared" si="1"/>
        <v>221366746</v>
      </c>
      <c r="D28" s="30">
        <f t="shared" si="4"/>
        <v>29769.66</v>
      </c>
      <c r="E28" s="6"/>
      <c r="G28" s="9" t="s">
        <v>5</v>
      </c>
      <c r="H28" s="8">
        <f>budget07!B6</f>
        <v>274640</v>
      </c>
      <c r="I28" s="9" t="s">
        <v>10</v>
      </c>
      <c r="J28" s="12">
        <f>budget07!B32</f>
        <v>0.13881160572337028</v>
      </c>
      <c r="K28" s="11" t="s">
        <v>0</v>
      </c>
      <c r="L28" s="27">
        <v>-0.002494</v>
      </c>
      <c r="M28" s="9" t="s">
        <v>69</v>
      </c>
      <c r="N28" s="5">
        <f>-L29/2/L28</f>
        <v>2500</v>
      </c>
      <c r="P28" s="29"/>
    </row>
    <row r="29" spans="1:14" ht="14.25">
      <c r="A29" s="4">
        <f t="shared" si="2"/>
        <v>3200</v>
      </c>
      <c r="B29" s="5">
        <f t="shared" si="0"/>
        <v>224894374.5707389</v>
      </c>
      <c r="C29" s="5">
        <f t="shared" si="1"/>
        <v>223306208</v>
      </c>
      <c r="D29" s="6"/>
      <c r="E29" s="6"/>
      <c r="G29" s="9" t="s">
        <v>0</v>
      </c>
      <c r="H29" s="24">
        <f>budget07!B17</f>
        <v>0.6346306592533757</v>
      </c>
      <c r="I29" s="9" t="s">
        <v>9</v>
      </c>
      <c r="J29" s="5">
        <f>budget07!B25</f>
        <v>129080800</v>
      </c>
      <c r="K29" s="11" t="s">
        <v>1</v>
      </c>
      <c r="L29" s="27">
        <v>12.47</v>
      </c>
      <c r="M29" s="9" t="s">
        <v>79</v>
      </c>
      <c r="N29" s="6">
        <f>(L28*N28^2+L29*N28+L30)/J30-1</f>
        <v>0.33336956521739136</v>
      </c>
    </row>
    <row r="30" spans="1:14" ht="12.75">
      <c r="A30" s="4">
        <f t="shared" si="2"/>
        <v>3300</v>
      </c>
      <c r="B30" s="5">
        <f t="shared" si="0"/>
        <v>227437134.02972278</v>
      </c>
      <c r="C30" s="5">
        <f t="shared" si="1"/>
        <v>225016222</v>
      </c>
      <c r="D30" s="6"/>
      <c r="E30" s="6"/>
      <c r="G30" s="9" t="s">
        <v>1</v>
      </c>
      <c r="H30" s="24">
        <f>1-H29</f>
        <v>0.3653693407466243</v>
      </c>
      <c r="I30" s="9" t="s">
        <v>7</v>
      </c>
      <c r="J30" s="5">
        <f>budget07!B16</f>
        <v>23000</v>
      </c>
      <c r="K30" s="11" t="s">
        <v>8</v>
      </c>
      <c r="L30" s="27">
        <v>15080</v>
      </c>
      <c r="M30" s="9" t="s">
        <v>81</v>
      </c>
      <c r="N30" s="12">
        <f>(L28*J31^3+L29*J31^2+L30*J31+J29)/(J29+J30*J31)</f>
        <v>1.1006288987032609</v>
      </c>
    </row>
    <row r="31" spans="1:14" ht="14.25">
      <c r="A31" s="4">
        <f t="shared" si="2"/>
        <v>3400</v>
      </c>
      <c r="B31" s="5">
        <f t="shared" si="0"/>
        <v>229931450.6237226</v>
      </c>
      <c r="C31" s="5">
        <f t="shared" si="1"/>
        <v>226481824</v>
      </c>
      <c r="D31" s="6"/>
      <c r="E31" s="6"/>
      <c r="G31" s="9" t="s">
        <v>2</v>
      </c>
      <c r="H31" s="8">
        <f>budget07!B19</f>
        <v>30010.430652431936</v>
      </c>
      <c r="I31" s="9" t="s">
        <v>14</v>
      </c>
      <c r="J31" s="5">
        <f>budget07!B23</f>
        <v>3231.0588235294017</v>
      </c>
      <c r="K31" s="11" t="s">
        <v>78</v>
      </c>
      <c r="L31" s="6">
        <v>1</v>
      </c>
      <c r="M31" s="9" t="s">
        <v>80</v>
      </c>
      <c r="N31" s="37">
        <f>H28/N28</f>
        <v>109.856</v>
      </c>
    </row>
  </sheetData>
  <mergeCells count="7">
    <mergeCell ref="A1:M1"/>
    <mergeCell ref="A2:M2"/>
    <mergeCell ref="G27:H27"/>
    <mergeCell ref="I27:J27"/>
    <mergeCell ref="K27:L27"/>
    <mergeCell ref="M27:N27"/>
    <mergeCell ref="D5:E5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scale="83" r:id="rId2"/>
  <headerFooter alignWithMargins="0">
    <oddFooter>&amp;L&amp;8&amp;F/&amp;A&amp;R&amp;"Arial,Grassetto"&amp;11ANNEX 16B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2003-01-29T14:15:20Z</cp:lastPrinted>
  <dcterms:created xsi:type="dcterms:W3CDTF">2001-02-18T15:54:53Z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