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0"/>
  </bookViews>
  <sheets>
    <sheet name="budget02" sheetId="1" r:id="rId1"/>
    <sheet name="product02" sheetId="2" r:id="rId2"/>
  </sheets>
  <definedNames>
    <definedName name="_xlnm.Print_Area" localSheetId="1">'product02'!$A$1:$N$31</definedName>
  </definedNames>
  <calcPr fullCalcOnLoad="1"/>
</workbook>
</file>

<file path=xl/sharedStrings.xml><?xml version="1.0" encoding="utf-8"?>
<sst xmlns="http://schemas.openxmlformats.org/spreadsheetml/2006/main" count="107" uniqueCount="86">
  <si>
    <t>a =</t>
  </si>
  <si>
    <t>b =</t>
  </si>
  <si>
    <t>A =</t>
  </si>
  <si>
    <t>Labour</t>
  </si>
  <si>
    <r>
      <t>X</t>
    </r>
    <r>
      <rPr>
        <b/>
        <vertAlign val="subscript"/>
        <sz val="10"/>
        <rFont val="Times New Roman"/>
        <family val="1"/>
      </rPr>
      <t>2</t>
    </r>
  </si>
  <si>
    <r>
      <t>X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</t>
    </r>
  </si>
  <si>
    <t>c =</t>
  </si>
  <si>
    <t>capital cost</t>
  </si>
  <si>
    <t>unit price</t>
  </si>
  <si>
    <t>Reference data</t>
  </si>
  <si>
    <t>Q function</t>
  </si>
  <si>
    <t>Final results</t>
  </si>
  <si>
    <r>
      <t>estim X</t>
    </r>
    <r>
      <rPr>
        <b/>
        <vertAlign val="subscript"/>
        <sz val="10"/>
        <rFont val="Times New Roman"/>
        <family val="1"/>
      </rPr>
      <t>2</t>
    </r>
  </si>
  <si>
    <t>Item description</t>
  </si>
  <si>
    <t>formulas used</t>
  </si>
  <si>
    <t>Reference indicators</t>
  </si>
  <si>
    <t>Labour productivity</t>
  </si>
  <si>
    <t>Total traffic in minutes</t>
  </si>
  <si>
    <t>Unit cost per line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</si>
  <si>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known capital cost: US $ per year</t>
    </r>
  </si>
  <si>
    <r>
      <t>Exponent of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variable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</si>
  <si>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</si>
  <si>
    <r>
      <t>Exponent of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variable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</si>
  <si>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1 - a</t>
    </r>
    <r>
      <rPr>
        <vertAlign val="subscript"/>
        <sz val="12"/>
        <rFont val="Times New Roman"/>
        <family val="1"/>
      </rPr>
      <t>0</t>
    </r>
  </si>
  <si>
    <r>
      <t>Constant of f(X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;X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</si>
  <si>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/a)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/b)</t>
    </r>
    <r>
      <rPr>
        <vertAlign val="superscript"/>
        <sz val="12"/>
        <rFont val="Times New Roman"/>
        <family val="1"/>
      </rPr>
      <t>b</t>
    </r>
  </si>
  <si>
    <t>Estimate of capital and operating cost</t>
  </si>
  <si>
    <t>Number of employees</t>
  </si>
  <si>
    <t>Annual operating cost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</si>
  <si>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expected cost: US$/year</t>
    </r>
  </si>
  <si>
    <t>Annual capital cost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</si>
  <si>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cost: US $/year</t>
    </r>
  </si>
  <si>
    <t>Total annual expenses</t>
  </si>
  <si>
    <t>Estimate total revenue</t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</si>
  <si>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/Q</t>
    </r>
    <r>
      <rPr>
        <vertAlign val="subscript"/>
        <sz val="12"/>
        <rFont val="Times New Roman"/>
        <family val="1"/>
      </rPr>
      <t>0</t>
    </r>
  </si>
  <si>
    <t>Price to cost ratio</t>
  </si>
  <si>
    <t>Expected total revenue</t>
  </si>
  <si>
    <t>Checking final results</t>
  </si>
  <si>
    <r>
      <t>P = calculated as: Y-C</t>
    </r>
    <r>
      <rPr>
        <vertAlign val="subscript"/>
        <sz val="12"/>
        <rFont val="Times New Roman"/>
        <family val="1"/>
      </rPr>
      <t>0</t>
    </r>
  </si>
  <si>
    <t>Profit/revenue</t>
  </si>
  <si>
    <t>Return = calculated as: P/Y</t>
  </si>
  <si>
    <t>Revenue/employee</t>
  </si>
  <si>
    <r>
      <t>Product = calculated as: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)/X</t>
    </r>
    <r>
      <rPr>
        <vertAlign val="subscript"/>
        <sz val="12"/>
        <rFont val="Times New Roman"/>
        <family val="1"/>
      </rPr>
      <t>2</t>
    </r>
  </si>
  <si>
    <t>Efficiency</t>
  </si>
  <si>
    <r>
      <t>Lines/employee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</si>
  <si>
    <t>NIGERIA CASE STUDY: NET PRODUCTIVITY PER EMPLOYEE</t>
  </si>
  <si>
    <t>1st attempt</t>
  </si>
  <si>
    <t>2nd attempt</t>
  </si>
  <si>
    <t>The productivity approach: labour productivity 2002</t>
  </si>
  <si>
    <t>GSM service: the productivity approach</t>
  </si>
  <si>
    <t>Lines operated</t>
  </si>
  <si>
    <t>Unit consumption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</si>
  <si>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minutes per line </t>
    </r>
  </si>
  <si>
    <r>
      <t>N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lines connected</t>
    </r>
  </si>
  <si>
    <t>Production function</t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</si>
  <si>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*N</t>
    </r>
    <r>
      <rPr>
        <vertAlign val="subscript"/>
        <sz val="12"/>
        <rFont val="Times New Roman"/>
        <family val="1"/>
      </rPr>
      <t xml:space="preserve">0  </t>
    </r>
    <r>
      <rPr>
        <sz val="12"/>
        <rFont val="Times New Roman"/>
        <family val="1"/>
      </rPr>
      <t>expected total consumption</t>
    </r>
  </si>
  <si>
    <t>Unit cost per minute</t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</si>
  <si>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expenses</t>
    </r>
  </si>
  <si>
    <t>product</t>
  </si>
  <si>
    <t>revenue</t>
  </si>
  <si>
    <t>Average</t>
  </si>
  <si>
    <t>Marginal</t>
  </si>
  <si>
    <r>
      <t>Productivity Y(X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</si>
  <si>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best X</t>
    </r>
    <r>
      <rPr>
        <b/>
        <vertAlign val="subscript"/>
        <sz val="10"/>
        <rFont val="Times New Roman"/>
        <family val="1"/>
      </rPr>
      <t>20</t>
    </r>
  </si>
  <si>
    <t>NIGERIA CASE STUDY: PROVISIONAL BUDGET 2002</t>
  </si>
  <si>
    <t>Expected balance</t>
  </si>
  <si>
    <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1/b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a/b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</si>
  <si>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operating expenses: US$/employee</t>
    </r>
  </si>
  <si>
    <t>Operating cost/employee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</si>
  <si>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*c</t>
    </r>
    <r>
      <rPr>
        <vertAlign val="subscript"/>
        <sz val="12"/>
        <rFont val="Times New Roman"/>
        <family val="1"/>
      </rPr>
      <t>0</t>
    </r>
  </si>
  <si>
    <t>operating</t>
  </si>
  <si>
    <t>Unit price per minute</t>
  </si>
  <si>
    <r>
      <t>Product % =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</si>
  <si>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t>Estimate efficiency</t>
  </si>
  <si>
    <r>
      <t>prod X</t>
    </r>
    <r>
      <rPr>
        <b/>
        <vertAlign val="subscript"/>
        <sz val="10"/>
        <rFont val="Times New Roman"/>
        <family val="1"/>
      </rPr>
      <t>20</t>
    </r>
  </si>
  <si>
    <r>
      <t>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/X</t>
    </r>
    <r>
      <rPr>
        <b/>
        <vertAlign val="subscript"/>
        <sz val="10"/>
        <rFont val="Times New Roman"/>
        <family val="1"/>
      </rPr>
      <t>20</t>
    </r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</si>
  <si>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+(1 + 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)*(1-a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</si>
  <si>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r>
      <t>Y = calculated as: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*Q</t>
    </r>
    <r>
      <rPr>
        <vertAlign val="subscript"/>
        <sz val="12"/>
        <rFont val="Times New Roman"/>
        <family val="1"/>
      </rPr>
      <t>0</t>
    </r>
  </si>
  <si>
    <t>Adjusted</t>
  </si>
  <si>
    <t>Provisional</t>
  </si>
  <si>
    <t>price/cost</t>
  </si>
  <si>
    <r>
      <t>R</t>
    </r>
    <r>
      <rPr>
        <b/>
        <sz val="10"/>
        <rFont val="Times New Roman"/>
        <family val="1"/>
      </rPr>
      <t xml:space="preserve"> =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</si>
  <si>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ratio lines/employee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</si>
  <si>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annual expenses =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/k</t>
    </r>
    <r>
      <rPr>
        <vertAlign val="subscript"/>
        <sz val="12"/>
        <rFont val="Times New Roman"/>
        <family val="1"/>
      </rPr>
      <t>0</t>
    </r>
  </si>
  <si>
    <t>Operating  &amp; Capital cost</t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</si>
  <si>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wanted ratio revenue/operating cost</t>
    </r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</si>
</sst>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000000"/>
    <numFmt numFmtId="168" formatCode="0.00000000000000000"/>
    <numFmt numFmtId="169" formatCode="0.E+00"/>
    <numFmt numFmtId="170" formatCode="0.000000000000"/>
    <numFmt numFmtId="171" formatCode="0.0000000000"/>
    <numFmt numFmtId="172" formatCode="0.00000000000"/>
    <numFmt numFmtId="173" formatCode="0.000E+00"/>
    <numFmt numFmtId="174" formatCode="#,##0.0000"/>
    <numFmt numFmtId="175" formatCode="0.0000E+00"/>
    <numFmt numFmtId="176" formatCode="0.0000%"/>
    <numFmt numFmtId="177" formatCode="#,##0.00000"/>
    <numFmt numFmtId="178" formatCode="#,##0.000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169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0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75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product02!$A$7:$A$31</c:f>
              <c:numCache/>
            </c:numRef>
          </c:xVal>
          <c:yVal>
            <c:numRef>
              <c:f>product02!$D$7:$D$31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product02!$A$7:$A$31</c:f>
              <c:numCache/>
            </c:numRef>
          </c:xVal>
          <c:yVal>
            <c:numRef>
              <c:f>product02!$E$7:$E$23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product02!$A$7:$A$31</c:f>
              <c:numCache/>
            </c:numRef>
          </c:xVal>
          <c:yVal>
            <c:numRef>
              <c:f>product02!$F$7:$F$23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product02!$A$7:$A$31</c:f>
              <c:numCache/>
            </c:numRef>
          </c:xVal>
          <c:yVal>
            <c:numRef>
              <c:f>product02!$D$7:$D$31</c:f>
              <c:numCache/>
            </c:numRef>
          </c:yVal>
          <c:smooth val="0"/>
        </c:ser>
        <c:axId val="39820548"/>
        <c:axId val="22840613"/>
      </c:scatterChart>
      <c:valAx>
        <c:axId val="39820548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crossBetween val="midCat"/>
        <c:dispUnits/>
      </c:valAx>
      <c:valAx>
        <c:axId val="228406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0.42875</cdr:y>
    </cdr:from>
    <cdr:to>
      <cdr:x>0.8955</cdr:x>
      <cdr:y>0.47625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1457325"/>
          <a:ext cx="10287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productivity</a:t>
          </a:r>
        </a:p>
      </cdr:txBody>
    </cdr:sp>
  </cdr:relSizeAnchor>
  <cdr:relSizeAnchor xmlns:cdr="http://schemas.openxmlformats.org/drawingml/2006/chartDrawing">
    <cdr:from>
      <cdr:x>0.5095</cdr:x>
      <cdr:y>0.139</cdr:y>
    </cdr:from>
    <cdr:to>
      <cdr:x>0.692</cdr:x>
      <cdr:y>0.1865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466725"/>
          <a:ext cx="105727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marginal productivity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0</xdr:rowOff>
    </xdr:from>
    <xdr:to>
      <xdr:col>14</xdr:col>
      <xdr:colOff>0</xdr:colOff>
      <xdr:row>24</xdr:row>
      <xdr:rowOff>152400</xdr:rowOff>
    </xdr:to>
    <xdr:graphicFrame>
      <xdr:nvGraphicFramePr>
        <xdr:cNvPr id="1" name="Chart 16"/>
        <xdr:cNvGraphicFramePr/>
      </xdr:nvGraphicFramePr>
      <xdr:xfrm>
        <a:off x="3952875" y="733425"/>
        <a:ext cx="5791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24.7109375" style="0" customWidth="1"/>
    <col min="2" max="3" width="15.57421875" style="0" customWidth="1"/>
    <col min="4" max="4" width="40.7109375" style="0" customWidth="1"/>
  </cols>
  <sheetData>
    <row r="1" spans="1:4" ht="19.5">
      <c r="A1" s="40" t="s">
        <v>64</v>
      </c>
      <c r="B1" s="40"/>
      <c r="C1" s="40"/>
      <c r="D1" s="40"/>
    </row>
    <row r="2" spans="1:4" ht="15.75">
      <c r="A2" s="41" t="s">
        <v>49</v>
      </c>
      <c r="B2" s="41"/>
      <c r="C2" s="41"/>
      <c r="D2" s="41"/>
    </row>
    <row r="3" spans="1:4" ht="15.75" customHeight="1">
      <c r="A3" s="12"/>
      <c r="B3" s="12"/>
      <c r="C3" s="12"/>
      <c r="D3" s="12"/>
    </row>
    <row r="4" spans="1:4" ht="15.75" customHeight="1">
      <c r="A4" s="13" t="s">
        <v>15</v>
      </c>
      <c r="B4" s="14"/>
      <c r="C4" s="14"/>
      <c r="D4" s="14"/>
    </row>
    <row r="5" spans="1:4" ht="15.75">
      <c r="A5" s="24" t="s">
        <v>13</v>
      </c>
      <c r="B5" s="24" t="s">
        <v>46</v>
      </c>
      <c r="C5" s="24" t="s">
        <v>47</v>
      </c>
      <c r="D5" s="24" t="s">
        <v>14</v>
      </c>
    </row>
    <row r="6" spans="1:4" ht="18.75">
      <c r="A6" s="32" t="s">
        <v>50</v>
      </c>
      <c r="B6" s="34">
        <v>118574</v>
      </c>
      <c r="C6" s="34">
        <v>118574</v>
      </c>
      <c r="D6" s="32" t="s">
        <v>53</v>
      </c>
    </row>
    <row r="7" spans="1:4" ht="18.75">
      <c r="A7" s="15" t="s">
        <v>51</v>
      </c>
      <c r="B7" s="16">
        <f>0.0313*60*8*300</f>
        <v>4507.200000000001</v>
      </c>
      <c r="C7" s="16">
        <f>(product02!L28*B23^3+product02!L29*B23^2+product02!L30*B23+B6*B15)/B32/B6</f>
        <v>4465.189765912308</v>
      </c>
      <c r="D7" s="15" t="s">
        <v>52</v>
      </c>
    </row>
    <row r="8" spans="1:4" ht="18.75">
      <c r="A8" s="15" t="s">
        <v>17</v>
      </c>
      <c r="B8" s="31">
        <f>B6*B7</f>
        <v>534436732.8000001</v>
      </c>
      <c r="C8" s="31">
        <f>C6*C7</f>
        <v>529455411.303286</v>
      </c>
      <c r="D8" s="15" t="s">
        <v>55</v>
      </c>
    </row>
    <row r="9" spans="1:4" ht="18.75">
      <c r="A9" s="15" t="s">
        <v>16</v>
      </c>
      <c r="B9" s="19">
        <v>0.6</v>
      </c>
      <c r="C9" s="19">
        <v>0.6</v>
      </c>
      <c r="D9" s="15" t="s">
        <v>85</v>
      </c>
    </row>
    <row r="10" spans="1:4" ht="18.75">
      <c r="A10" s="15" t="s">
        <v>73</v>
      </c>
      <c r="B10" s="25">
        <v>40.62</v>
      </c>
      <c r="C10" s="25">
        <v>40.62</v>
      </c>
      <c r="D10" s="15" t="s">
        <v>82</v>
      </c>
    </row>
    <row r="11" spans="1:4" ht="18.75">
      <c r="A11" s="15" t="s">
        <v>84</v>
      </c>
      <c r="B11" s="16">
        <f>B6*B15+B6*B16/B10</f>
        <v>96305324.0669621</v>
      </c>
      <c r="C11" s="16">
        <f>C6*C15+product02!N28*C16</f>
        <v>80720619.16083917</v>
      </c>
      <c r="D11" s="15" t="s">
        <v>83</v>
      </c>
    </row>
    <row r="12" spans="1:4" ht="15.75">
      <c r="A12" s="17"/>
      <c r="B12" s="20"/>
      <c r="C12" s="20"/>
      <c r="D12" s="17"/>
    </row>
    <row r="13" spans="1:4" ht="15.75">
      <c r="A13" s="18" t="s">
        <v>54</v>
      </c>
      <c r="B13" s="17"/>
      <c r="C13" s="17"/>
      <c r="D13" s="17"/>
    </row>
    <row r="14" spans="1:4" ht="15.75">
      <c r="A14" s="24" t="s">
        <v>13</v>
      </c>
      <c r="B14" s="24" t="s">
        <v>46</v>
      </c>
      <c r="C14" s="24" t="s">
        <v>47</v>
      </c>
      <c r="D14" s="24" t="s">
        <v>14</v>
      </c>
    </row>
    <row r="15" spans="1:4" ht="18.75">
      <c r="A15" s="15" t="s">
        <v>18</v>
      </c>
      <c r="B15" s="15">
        <v>470</v>
      </c>
      <c r="C15" s="15">
        <v>470</v>
      </c>
      <c r="D15" s="15" t="s">
        <v>19</v>
      </c>
    </row>
    <row r="16" spans="1:4" ht="18.75">
      <c r="A16" s="15" t="s">
        <v>68</v>
      </c>
      <c r="B16" s="16">
        <v>13900</v>
      </c>
      <c r="C16" s="16">
        <v>13900</v>
      </c>
      <c r="D16" s="15" t="s">
        <v>67</v>
      </c>
    </row>
    <row r="17" spans="1:4" ht="18.75">
      <c r="A17" s="15" t="s">
        <v>20</v>
      </c>
      <c r="B17" s="21">
        <f>B6*B15/B11</f>
        <v>0.5786780797419934</v>
      </c>
      <c r="C17" s="21">
        <f>C6*C15/C11</f>
        <v>0.6904032771224922</v>
      </c>
      <c r="D17" s="15" t="s">
        <v>21</v>
      </c>
    </row>
    <row r="18" spans="1:4" ht="18.75">
      <c r="A18" s="15" t="s">
        <v>22</v>
      </c>
      <c r="B18" s="21">
        <f>1-B17</f>
        <v>0.42132192025800663</v>
      </c>
      <c r="C18" s="21">
        <f>1-C17</f>
        <v>0.30959672287750784</v>
      </c>
      <c r="D18" s="15" t="s">
        <v>23</v>
      </c>
    </row>
    <row r="19" spans="1:4" ht="20.25">
      <c r="A19" s="15" t="s">
        <v>24</v>
      </c>
      <c r="B19" s="16">
        <f>(B8/B11)*((B15/B17)^B17)*((B16/B18)^B18)</f>
        <v>21463.681812954397</v>
      </c>
      <c r="C19" s="16">
        <f>(C8/C11)*((C15/C17)^C17)*(C16/C18)^(1-C17)</f>
        <v>16332.983873399538</v>
      </c>
      <c r="D19" s="15" t="s">
        <v>25</v>
      </c>
    </row>
    <row r="20" spans="1:4" ht="15.75">
      <c r="A20" s="17"/>
      <c r="B20" s="20"/>
      <c r="C20" s="20"/>
      <c r="D20" s="17"/>
    </row>
    <row r="21" ht="15.75">
      <c r="A21" s="13" t="s">
        <v>26</v>
      </c>
    </row>
    <row r="22" spans="1:4" ht="15.75">
      <c r="A22" s="24" t="s">
        <v>13</v>
      </c>
      <c r="B22" s="24" t="s">
        <v>46</v>
      </c>
      <c r="C22" s="24" t="s">
        <v>47</v>
      </c>
      <c r="D22" s="24" t="s">
        <v>14</v>
      </c>
    </row>
    <row r="23" spans="1:4" ht="20.25">
      <c r="A23" s="15" t="s">
        <v>27</v>
      </c>
      <c r="B23" s="16">
        <f>((B8/B19)^(1/B18))*(B15/B17/B11)^(B17/B18)</f>
        <v>2919.1038897095023</v>
      </c>
      <c r="C23" s="16">
        <f>((C8/C19)^(1/C18))*(C15/C17/C11)^(C17/C18)</f>
        <v>1797.9020979021066</v>
      </c>
      <c r="D23" s="15" t="s">
        <v>66</v>
      </c>
    </row>
    <row r="24" spans="1:4" ht="18.75">
      <c r="A24" s="15" t="s">
        <v>28</v>
      </c>
      <c r="B24" s="16">
        <f>B16*B23</f>
        <v>40575544.06696208</v>
      </c>
      <c r="C24" s="16">
        <f>C16*C23</f>
        <v>24990839.160839282</v>
      </c>
      <c r="D24" s="15" t="s">
        <v>29</v>
      </c>
    </row>
    <row r="25" spans="1:4" ht="18.75">
      <c r="A25" s="15" t="s">
        <v>30</v>
      </c>
      <c r="B25" s="16">
        <f>B6*B15</f>
        <v>55729780</v>
      </c>
      <c r="C25" s="16">
        <f>C6*C15</f>
        <v>55729780</v>
      </c>
      <c r="D25" s="15" t="s">
        <v>31</v>
      </c>
    </row>
    <row r="26" spans="1:4" ht="18.75">
      <c r="A26" s="15" t="s">
        <v>32</v>
      </c>
      <c r="B26" s="16">
        <f>B24+B25</f>
        <v>96305324.06696208</v>
      </c>
      <c r="C26" s="16">
        <f>C24+C25</f>
        <v>80720619.16083929</v>
      </c>
      <c r="D26" s="15" t="s">
        <v>57</v>
      </c>
    </row>
    <row r="27" spans="1:4" ht="15.75">
      <c r="A27" s="17"/>
      <c r="B27" s="20"/>
      <c r="C27" s="20"/>
      <c r="D27" s="17"/>
    </row>
    <row r="28" spans="1:3" ht="15.75">
      <c r="A28" s="18" t="s">
        <v>33</v>
      </c>
      <c r="B28" s="20"/>
      <c r="C28" s="20"/>
    </row>
    <row r="29" spans="1:4" ht="15.75">
      <c r="A29" s="24" t="s">
        <v>13</v>
      </c>
      <c r="B29" s="24" t="s">
        <v>46</v>
      </c>
      <c r="C29" s="24" t="s">
        <v>47</v>
      </c>
      <c r="D29" s="24" t="s">
        <v>14</v>
      </c>
    </row>
    <row r="30" spans="1:4" ht="18.75">
      <c r="A30" s="32" t="s">
        <v>56</v>
      </c>
      <c r="B30" s="35">
        <f>B26/B8</f>
        <v>0.18019967220891234</v>
      </c>
      <c r="C30" s="35">
        <f>C26/C8</f>
        <v>0.15245971131382088</v>
      </c>
      <c r="D30" s="32" t="s">
        <v>34</v>
      </c>
    </row>
    <row r="31" spans="1:4" ht="18.75">
      <c r="A31" s="32" t="s">
        <v>35</v>
      </c>
      <c r="B31" s="35">
        <f>B17+(1+B9)*(1-B17)</f>
        <v>1.252793152154804</v>
      </c>
      <c r="C31" s="35">
        <f>(product02!L28*C23^3+product02!L29*C23^2+product02!L30*C23+C25)/(C25+C16*C23)</f>
        <v>1.2172167646547811</v>
      </c>
      <c r="D31" s="15" t="s">
        <v>76</v>
      </c>
    </row>
    <row r="32" spans="1:4" ht="15.75" customHeight="1">
      <c r="A32" s="15" t="s">
        <v>71</v>
      </c>
      <c r="B32" s="35">
        <f>B30*B31</f>
        <v>0.2257529153638657</v>
      </c>
      <c r="C32" s="35">
        <f>C30*C31</f>
        <v>0.185576516545611</v>
      </c>
      <c r="D32" s="32" t="s">
        <v>69</v>
      </c>
    </row>
    <row r="33" spans="1:4" ht="18.75">
      <c r="A33" s="15" t="s">
        <v>36</v>
      </c>
      <c r="B33" s="36">
        <f>B8*B32</f>
        <v>120650650.50713933</v>
      </c>
      <c r="C33" s="34">
        <f>C8*C32</f>
        <v>98254490.89588754</v>
      </c>
      <c r="D33" s="15" t="s">
        <v>77</v>
      </c>
    </row>
    <row r="34" spans="1:4" ht="15.75">
      <c r="A34" s="17"/>
      <c r="B34" s="20"/>
      <c r="C34" s="20"/>
      <c r="D34" s="17"/>
    </row>
    <row r="35" spans="1:4" ht="15.75">
      <c r="A35" s="13" t="s">
        <v>37</v>
      </c>
      <c r="B35" s="22"/>
      <c r="C35" s="22"/>
      <c r="D35" s="22"/>
    </row>
    <row r="36" spans="1:4" ht="15.75">
      <c r="A36" s="24" t="s">
        <v>13</v>
      </c>
      <c r="B36" s="24" t="s">
        <v>46</v>
      </c>
      <c r="C36" s="24" t="s">
        <v>47</v>
      </c>
      <c r="D36" s="24" t="s">
        <v>14</v>
      </c>
    </row>
    <row r="37" spans="1:4" ht="18.75">
      <c r="A37" s="32" t="s">
        <v>65</v>
      </c>
      <c r="B37" s="30">
        <f>B33-B26</f>
        <v>24345326.440177247</v>
      </c>
      <c r="C37" s="30">
        <f>C33-C26</f>
        <v>17533871.73504825</v>
      </c>
      <c r="D37" s="32" t="s">
        <v>38</v>
      </c>
    </row>
    <row r="38" spans="1:4" ht="15.75">
      <c r="A38" s="32" t="s">
        <v>39</v>
      </c>
      <c r="B38" s="33">
        <f>B37/B33</f>
        <v>0.2017836318150365</v>
      </c>
      <c r="C38" s="33">
        <f>C37/C33</f>
        <v>0.17845364191675978</v>
      </c>
      <c r="D38" s="32" t="s">
        <v>40</v>
      </c>
    </row>
    <row r="39" spans="1:4" ht="18.75">
      <c r="A39" s="32" t="s">
        <v>41</v>
      </c>
      <c r="B39" s="30">
        <f>(B33-B25)/B23</f>
        <v>22240</v>
      </c>
      <c r="C39" s="30">
        <f>(C33-C25)/C23</f>
        <v>23652.406293706295</v>
      </c>
      <c r="D39" s="32" t="s">
        <v>42</v>
      </c>
    </row>
    <row r="40" spans="1:4" ht="18.75">
      <c r="A40" s="15" t="s">
        <v>16</v>
      </c>
      <c r="B40" s="19">
        <f>(B33-B25)/B24-1</f>
        <v>0.6000000000000001</v>
      </c>
      <c r="C40" s="19">
        <f>(C33-C25)/C24-1</f>
        <v>0.7016119635759925</v>
      </c>
      <c r="D40" s="15" t="s">
        <v>72</v>
      </c>
    </row>
    <row r="41" spans="1:4" ht="18.75">
      <c r="A41" s="15" t="s">
        <v>43</v>
      </c>
      <c r="B41" s="25">
        <f>B6/B23</f>
        <v>40.620000000000005</v>
      </c>
      <c r="C41" s="25">
        <f>C6/C23</f>
        <v>65.95131077401757</v>
      </c>
      <c r="D41" s="15" t="s">
        <v>44</v>
      </c>
    </row>
  </sheetData>
  <mergeCells count="2">
    <mergeCell ref="A1:D1"/>
    <mergeCell ref="A2:D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4" r:id="rId1"/>
  <headerFooter alignWithMargins="0">
    <oddHeader>&amp;R&amp;"Arial,Grassetto"&amp;11ANNEX 11C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A1" sqref="A1:N1"/>
    </sheetView>
  </sheetViews>
  <sheetFormatPr defaultColWidth="9.140625" defaultRowHeight="12.75"/>
  <cols>
    <col min="1" max="1" width="8.28125" style="0" customWidth="1"/>
    <col min="2" max="3" width="12.7109375" style="0" customWidth="1"/>
    <col min="4" max="5" width="9.7109375" style="0" customWidth="1"/>
    <col min="6" max="6" width="5.7109375" style="0" customWidth="1"/>
    <col min="8" max="8" width="10.28125" style="0" bestFit="1" customWidth="1"/>
    <col min="9" max="9" width="13.140625" style="0" customWidth="1"/>
    <col min="10" max="10" width="12.7109375" style="0" customWidth="1"/>
    <col min="11" max="11" width="9.421875" style="0" customWidth="1"/>
    <col min="12" max="12" width="11.7109375" style="0" customWidth="1"/>
    <col min="13" max="13" width="10.140625" style="0" bestFit="1" customWidth="1"/>
    <col min="14" max="14" width="10.7109375" style="0" customWidth="1"/>
    <col min="15" max="15" width="10.00390625" style="0" bestFit="1" customWidth="1"/>
    <col min="16" max="16" width="12.421875" style="0" bestFit="1" customWidth="1"/>
  </cols>
  <sheetData>
    <row r="1" spans="1:14" ht="19.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2.75">
      <c r="F3" s="1"/>
    </row>
    <row r="4" ht="12.75">
      <c r="F4" s="1"/>
    </row>
    <row r="5" spans="1:5" ht="12.75">
      <c r="A5" s="9" t="s">
        <v>3</v>
      </c>
      <c r="B5" s="9" t="s">
        <v>79</v>
      </c>
      <c r="C5" s="9" t="s">
        <v>78</v>
      </c>
      <c r="D5" s="9" t="s">
        <v>60</v>
      </c>
      <c r="E5" s="9" t="s">
        <v>61</v>
      </c>
    </row>
    <row r="6" spans="1:5" ht="14.25">
      <c r="A6" s="6" t="s">
        <v>4</v>
      </c>
      <c r="B6" s="6" t="s">
        <v>59</v>
      </c>
      <c r="C6" s="6" t="s">
        <v>59</v>
      </c>
      <c r="D6" s="6" t="s">
        <v>58</v>
      </c>
      <c r="E6" s="6" t="s">
        <v>58</v>
      </c>
    </row>
    <row r="7" spans="1:14" ht="12.75">
      <c r="A7" s="3">
        <v>1000</v>
      </c>
      <c r="B7" s="4">
        <f aca="true" t="shared" si="0" ref="B7:B31">$J$28*$H$31*($H$28^$H$29)*(A7^$H$30)</f>
        <v>76826285.05483606</v>
      </c>
      <c r="C7" s="4">
        <f>-0.002264*A7^3+9.723*A7^2+8017*A7+$J$29</f>
        <v>71205780</v>
      </c>
      <c r="D7" s="29"/>
      <c r="E7" s="29"/>
      <c r="F7" s="39"/>
      <c r="N7" s="2"/>
    </row>
    <row r="8" spans="1:14" ht="12.75">
      <c r="A8" s="3">
        <f>A7+100</f>
        <v>1100</v>
      </c>
      <c r="B8" s="4">
        <f>$J$28*$H$31*($H$28^$H$29)*(A8^$H$30)</f>
        <v>79974121.64389387</v>
      </c>
      <c r="C8" s="4">
        <f aca="true" t="shared" si="1" ref="C8:C31">-0.002264*A8^3+9.723*A8^2+8017*A8+$J$29</f>
        <v>73299926</v>
      </c>
      <c r="D8" s="29"/>
      <c r="E8" s="29"/>
      <c r="F8" s="39"/>
      <c r="N8" s="2"/>
    </row>
    <row r="9" spans="1:14" ht="12.75">
      <c r="A9" s="3">
        <f aca="true" t="shared" si="2" ref="A9:A31">A8+100</f>
        <v>1200</v>
      </c>
      <c r="B9" s="4">
        <f t="shared" si="0"/>
        <v>82960359.99807572</v>
      </c>
      <c r="C9" s="4">
        <f t="shared" si="1"/>
        <v>75439108</v>
      </c>
      <c r="D9" s="29"/>
      <c r="E9" s="29">
        <f>3*$L$28*A9^2+2*$L$29*A9+$L$30</f>
        <v>25193.2</v>
      </c>
      <c r="F9" s="39"/>
      <c r="N9" s="2"/>
    </row>
    <row r="10" spans="1:14" ht="12.75">
      <c r="A10" s="3">
        <f t="shared" si="2"/>
        <v>1300</v>
      </c>
      <c r="B10" s="4">
        <f t="shared" si="0"/>
        <v>85805804.06309512</v>
      </c>
      <c r="C10" s="4">
        <f t="shared" si="1"/>
        <v>77609742</v>
      </c>
      <c r="D10" s="29">
        <f aca="true" t="shared" si="3" ref="D9:D24">(B10-$J$29)/A10</f>
        <v>23135.403125457786</v>
      </c>
      <c r="E10" s="29">
        <f aca="true" t="shared" si="4" ref="E10:E15">3*$L$28*A10^2+2*$L$29*A10+$L$30</f>
        <v>25149.1</v>
      </c>
      <c r="F10" s="39"/>
      <c r="N10" s="2"/>
    </row>
    <row r="11" spans="1:14" ht="12.75">
      <c r="A11" s="3">
        <f t="shared" si="2"/>
        <v>1400</v>
      </c>
      <c r="B11" s="4">
        <f t="shared" si="0"/>
        <v>88527210.12196049</v>
      </c>
      <c r="C11" s="4">
        <f t="shared" si="1"/>
        <v>79798244</v>
      </c>
      <c r="D11" s="29">
        <f t="shared" si="3"/>
        <v>23426.73580140035</v>
      </c>
      <c r="E11" s="29">
        <f t="shared" si="4"/>
        <v>25019.199999999997</v>
      </c>
      <c r="F11" s="39"/>
      <c r="N11" s="2"/>
    </row>
    <row r="12" spans="1:14" ht="12.75">
      <c r="A12" s="3">
        <f t="shared" si="2"/>
        <v>1500</v>
      </c>
      <c r="B12" s="4">
        <f t="shared" si="0"/>
        <v>91138303.6293837</v>
      </c>
      <c r="C12" s="4">
        <f t="shared" si="1"/>
        <v>81991030</v>
      </c>
      <c r="D12" s="29">
        <f t="shared" si="3"/>
        <v>23605.68241958913</v>
      </c>
      <c r="E12" s="29">
        <f t="shared" si="4"/>
        <v>24803.5</v>
      </c>
      <c r="F12" s="39"/>
      <c r="N12" s="2"/>
    </row>
    <row r="13" spans="1:14" ht="12.75">
      <c r="A13" s="3">
        <f t="shared" si="2"/>
        <v>1600</v>
      </c>
      <c r="B13" s="4">
        <f t="shared" si="0"/>
        <v>93650490.50518845</v>
      </c>
      <c r="C13" s="4">
        <f t="shared" si="1"/>
        <v>84174516</v>
      </c>
      <c r="D13" s="29">
        <f t="shared" si="3"/>
        <v>23700.44406574278</v>
      </c>
      <c r="E13" s="29">
        <f t="shared" si="4"/>
        <v>24502</v>
      </c>
      <c r="F13" s="39"/>
      <c r="N13" s="2"/>
    </row>
    <row r="14" spans="1:14" ht="12.75">
      <c r="A14" s="3">
        <f t="shared" si="2"/>
        <v>1700</v>
      </c>
      <c r="B14" s="4">
        <f t="shared" si="0"/>
        <v>96073367.90581402</v>
      </c>
      <c r="C14" s="4">
        <f t="shared" si="1"/>
        <v>86335118</v>
      </c>
      <c r="D14" s="29">
        <f t="shared" si="3"/>
        <v>23731.52229753766</v>
      </c>
      <c r="E14" s="29">
        <f t="shared" si="4"/>
        <v>24114.700000000004</v>
      </c>
      <c r="F14" s="39"/>
      <c r="N14" s="2"/>
    </row>
    <row r="15" spans="1:14" ht="12.75">
      <c r="A15" s="3">
        <f t="shared" si="2"/>
        <v>1800</v>
      </c>
      <c r="B15" s="4">
        <f t="shared" si="0"/>
        <v>98415099.38051683</v>
      </c>
      <c r="C15" s="4">
        <f t="shared" si="1"/>
        <v>88459252</v>
      </c>
      <c r="D15" s="29">
        <f t="shared" si="3"/>
        <v>23714.06632250935</v>
      </c>
      <c r="E15" s="29">
        <f t="shared" si="4"/>
        <v>23641.6</v>
      </c>
      <c r="F15" s="39"/>
      <c r="N15" s="2"/>
    </row>
    <row r="16" spans="1:14" ht="12.75">
      <c r="A16" s="3">
        <f t="shared" si="2"/>
        <v>1900</v>
      </c>
      <c r="B16" s="4">
        <f t="shared" si="0"/>
        <v>100682695.89377081</v>
      </c>
      <c r="C16" s="4">
        <f t="shared" si="1"/>
        <v>90533334</v>
      </c>
      <c r="D16" s="29">
        <f t="shared" si="3"/>
        <v>23659.429417774114</v>
      </c>
      <c r="E16" s="29">
        <f>3*$L$28*A16^2+2*$L$29*A16+$L$30</f>
        <v>23082.7</v>
      </c>
      <c r="F16" s="39"/>
      <c r="N16" s="2"/>
    </row>
    <row r="17" spans="1:14" ht="12.75">
      <c r="A17" s="3">
        <f t="shared" si="2"/>
        <v>2000</v>
      </c>
      <c r="B17" s="4">
        <f t="shared" si="0"/>
        <v>102882230.00599992</v>
      </c>
      <c r="C17" s="4">
        <f t="shared" si="1"/>
        <v>92543780</v>
      </c>
      <c r="D17" s="29">
        <f t="shared" si="3"/>
        <v>23576.225002999963</v>
      </c>
      <c r="E17" s="29">
        <f aca="true" t="shared" si="5" ref="E17:E22">3*$L$28*A17^2+2*$L$29*A17+$L$30</f>
        <v>22438</v>
      </c>
      <c r="F17" s="39"/>
      <c r="N17" s="2"/>
    </row>
    <row r="18" spans="1:14" ht="12.75">
      <c r="A18" s="3">
        <f t="shared" si="2"/>
        <v>2100</v>
      </c>
      <c r="B18" s="4">
        <f t="shared" si="0"/>
        <v>105019001.63204119</v>
      </c>
      <c r="C18" s="4">
        <f t="shared" si="1"/>
        <v>94477006</v>
      </c>
      <c r="D18" s="29">
        <f t="shared" si="3"/>
        <v>23471.05792001961</v>
      </c>
      <c r="E18" s="29">
        <f t="shared" si="5"/>
        <v>21707.5</v>
      </c>
      <c r="F18" s="39"/>
      <c r="N18" s="2"/>
    </row>
    <row r="19" spans="1:14" ht="12.75">
      <c r="A19" s="3">
        <f t="shared" si="2"/>
        <v>2200</v>
      </c>
      <c r="B19" s="4">
        <f t="shared" si="0"/>
        <v>107097668.0913582</v>
      </c>
      <c r="C19" s="4">
        <f t="shared" si="1"/>
        <v>96319428</v>
      </c>
      <c r="D19" s="29">
        <f t="shared" si="3"/>
        <v>23349.040041526456</v>
      </c>
      <c r="E19" s="29">
        <f t="shared" si="5"/>
        <v>20891.2</v>
      </c>
      <c r="F19" s="39"/>
      <c r="N19" s="2"/>
    </row>
    <row r="20" spans="1:14" ht="12.75">
      <c r="A20" s="3">
        <f t="shared" si="2"/>
        <v>2300</v>
      </c>
      <c r="B20" s="4">
        <f t="shared" si="0"/>
        <v>109122347.40342462</v>
      </c>
      <c r="C20" s="4">
        <f t="shared" si="1"/>
        <v>98057462</v>
      </c>
      <c r="D20" s="29">
        <f t="shared" si="3"/>
        <v>23214.1597406194</v>
      </c>
      <c r="E20" s="29">
        <f t="shared" si="5"/>
        <v>19989.1</v>
      </c>
      <c r="F20" s="39"/>
      <c r="N20" s="2"/>
    </row>
    <row r="21" spans="1:14" ht="12.75">
      <c r="A21" s="3">
        <f t="shared" si="2"/>
        <v>2400</v>
      </c>
      <c r="B21" s="4">
        <f t="shared" si="0"/>
        <v>111096701.24763262</v>
      </c>
      <c r="C21" s="4">
        <f t="shared" si="1"/>
        <v>99677524</v>
      </c>
      <c r="D21" s="29">
        <f t="shared" si="3"/>
        <v>23069.550519846925</v>
      </c>
      <c r="E21" s="29">
        <f t="shared" si="5"/>
        <v>19001.2</v>
      </c>
      <c r="F21" s="39"/>
      <c r="N21" s="2"/>
    </row>
    <row r="22" spans="1:14" ht="12.75">
      <c r="A22" s="3">
        <f t="shared" si="2"/>
        <v>2500</v>
      </c>
      <c r="B22" s="4">
        <f t="shared" si="0"/>
        <v>113024002.2653277</v>
      </c>
      <c r="C22" s="4">
        <f t="shared" si="1"/>
        <v>101166030</v>
      </c>
      <c r="D22" s="29">
        <f t="shared" si="3"/>
        <v>22917.688906131083</v>
      </c>
      <c r="E22" s="29">
        <f t="shared" si="5"/>
        <v>17927.499999999996</v>
      </c>
      <c r="F22" s="39"/>
      <c r="N22" s="2"/>
    </row>
    <row r="23" spans="1:14" ht="12.75">
      <c r="A23" s="3">
        <f t="shared" si="2"/>
        <v>2600</v>
      </c>
      <c r="B23" s="4">
        <f t="shared" si="0"/>
        <v>114907189.16277233</v>
      </c>
      <c r="C23" s="4">
        <f t="shared" si="1"/>
        <v>102509396</v>
      </c>
      <c r="D23" s="29">
        <f t="shared" si="3"/>
        <v>22760.541985681666</v>
      </c>
      <c r="E23" s="29"/>
      <c r="F23" s="39"/>
      <c r="N23" s="2"/>
    </row>
    <row r="24" spans="1:16" ht="12.75">
      <c r="A24" s="3">
        <f t="shared" si="2"/>
        <v>2700</v>
      </c>
      <c r="B24" s="4">
        <f t="shared" si="0"/>
        <v>116748912.2070065</v>
      </c>
      <c r="C24" s="4">
        <f t="shared" si="1"/>
        <v>103694038</v>
      </c>
      <c r="D24" s="29">
        <f t="shared" si="3"/>
        <v>22599.678595187594</v>
      </c>
      <c r="E24" s="29"/>
      <c r="F24" s="39"/>
      <c r="N24" s="2"/>
      <c r="P24" s="27"/>
    </row>
    <row r="25" spans="1:14" ht="12.75">
      <c r="A25" s="3">
        <f t="shared" si="2"/>
        <v>2800</v>
      </c>
      <c r="B25" s="4">
        <f t="shared" si="0"/>
        <v>118551571.08086285</v>
      </c>
      <c r="C25" s="4">
        <f t="shared" si="1"/>
        <v>104706372</v>
      </c>
      <c r="D25" s="29"/>
      <c r="E25" s="29"/>
      <c r="F25" s="39"/>
      <c r="N25" s="2"/>
    </row>
    <row r="26" spans="1:16" ht="12.75">
      <c r="A26" s="3">
        <f t="shared" si="2"/>
        <v>2900</v>
      </c>
      <c r="B26" s="4">
        <f t="shared" si="0"/>
        <v>120317346.60555214</v>
      </c>
      <c r="C26" s="4">
        <f t="shared" si="1"/>
        <v>105532814</v>
      </c>
      <c r="D26" s="29"/>
      <c r="E26" s="29"/>
      <c r="F26" s="39"/>
      <c r="N26" s="2"/>
      <c r="P26" s="27"/>
    </row>
    <row r="27" spans="1:16" ht="14.25">
      <c r="A27" s="3">
        <f t="shared" si="2"/>
        <v>3000</v>
      </c>
      <c r="B27" s="4">
        <f t="shared" si="0"/>
        <v>122048227.50003164</v>
      </c>
      <c r="C27" s="4">
        <f t="shared" si="1"/>
        <v>106159780</v>
      </c>
      <c r="D27" s="29"/>
      <c r="E27" s="29"/>
      <c r="F27" s="39"/>
      <c r="G27" s="43" t="s">
        <v>10</v>
      </c>
      <c r="H27" s="44"/>
      <c r="I27" s="43" t="s">
        <v>9</v>
      </c>
      <c r="J27" s="44"/>
      <c r="K27" s="43" t="s">
        <v>62</v>
      </c>
      <c r="L27" s="44"/>
      <c r="M27" s="45" t="s">
        <v>11</v>
      </c>
      <c r="N27" s="45"/>
      <c r="P27" s="27"/>
    </row>
    <row r="28" spans="1:16" ht="14.25">
      <c r="A28" s="3">
        <f t="shared" si="2"/>
        <v>3100</v>
      </c>
      <c r="B28" s="4">
        <f t="shared" si="0"/>
        <v>123746033.0921377</v>
      </c>
      <c r="C28" s="4">
        <f t="shared" si="1"/>
        <v>106573686</v>
      </c>
      <c r="D28" s="29"/>
      <c r="E28" s="29"/>
      <c r="F28" s="39"/>
      <c r="G28" s="8" t="s">
        <v>5</v>
      </c>
      <c r="H28" s="7">
        <f>budget02!B6</f>
        <v>118574</v>
      </c>
      <c r="I28" s="8" t="s">
        <v>8</v>
      </c>
      <c r="J28" s="11">
        <f>budget02!B32</f>
        <v>0.2257529153638657</v>
      </c>
      <c r="K28" s="10" t="s">
        <v>0</v>
      </c>
      <c r="L28" s="26">
        <v>-0.00143</v>
      </c>
      <c r="M28" s="8" t="s">
        <v>63</v>
      </c>
      <c r="N28" s="29">
        <f>-L29/L28/2</f>
        <v>1797.902097902098</v>
      </c>
      <c r="P28" s="28"/>
    </row>
    <row r="29" spans="1:14" ht="14.25">
      <c r="A29" s="3">
        <f t="shared" si="2"/>
        <v>3200</v>
      </c>
      <c r="B29" s="4">
        <f t="shared" si="0"/>
        <v>125412432.70389022</v>
      </c>
      <c r="C29" s="4">
        <f t="shared" si="1"/>
        <v>106760948.00000001</v>
      </c>
      <c r="D29" s="29"/>
      <c r="E29" s="29"/>
      <c r="F29" s="39"/>
      <c r="G29" s="8" t="s">
        <v>0</v>
      </c>
      <c r="H29" s="23">
        <f>budget02!B17</f>
        <v>0.5786780797419934</v>
      </c>
      <c r="I29" s="8" t="s">
        <v>7</v>
      </c>
      <c r="J29" s="4">
        <f>budget02!B25</f>
        <v>55729780</v>
      </c>
      <c r="K29" s="10" t="s">
        <v>1</v>
      </c>
      <c r="L29" s="26">
        <v>5.142</v>
      </c>
      <c r="M29" s="8" t="s">
        <v>74</v>
      </c>
      <c r="N29" s="5">
        <f>(L28*N28^2+L29*N28+L30)/J30-1</f>
        <v>0.7016119635759925</v>
      </c>
    </row>
    <row r="30" spans="1:14" ht="12.75">
      <c r="A30" s="3">
        <f t="shared" si="2"/>
        <v>3300</v>
      </c>
      <c r="B30" s="4">
        <f t="shared" si="0"/>
        <v>127048962.28604959</v>
      </c>
      <c r="C30" s="4">
        <f t="shared" si="1"/>
        <v>106707982.00000001</v>
      </c>
      <c r="D30" s="29"/>
      <c r="E30" s="29"/>
      <c r="F30" s="39"/>
      <c r="G30" s="8" t="s">
        <v>1</v>
      </c>
      <c r="H30" s="23">
        <f>1-H29</f>
        <v>0.42132192025800663</v>
      </c>
      <c r="I30" s="8" t="s">
        <v>70</v>
      </c>
      <c r="J30" s="4">
        <f>budget02!B16</f>
        <v>13900</v>
      </c>
      <c r="K30" s="10" t="s">
        <v>6</v>
      </c>
      <c r="L30" s="26">
        <v>19030</v>
      </c>
      <c r="M30" s="8" t="s">
        <v>80</v>
      </c>
      <c r="N30" s="38">
        <f>(L28*J31^3+L29*J31^2+L30*J31+J29)/(J29+J30*J31)</f>
        <v>1.2411162499571022</v>
      </c>
    </row>
    <row r="31" spans="1:14" ht="14.25">
      <c r="A31" s="3">
        <f t="shared" si="2"/>
        <v>3400</v>
      </c>
      <c r="B31" s="4">
        <f t="shared" si="0"/>
        <v>128657038.76325613</v>
      </c>
      <c r="C31" s="4">
        <f t="shared" si="1"/>
        <v>106401204.00000001</v>
      </c>
      <c r="D31" s="29"/>
      <c r="E31" s="29"/>
      <c r="F31" s="39"/>
      <c r="G31" s="8" t="s">
        <v>2</v>
      </c>
      <c r="H31" s="7">
        <f>budget02!B19</f>
        <v>21463.681812954397</v>
      </c>
      <c r="I31" s="8" t="s">
        <v>12</v>
      </c>
      <c r="J31" s="4">
        <f>budget02!B23</f>
        <v>2919.1038897095023</v>
      </c>
      <c r="K31" s="10" t="s">
        <v>81</v>
      </c>
      <c r="L31" s="5">
        <v>0.9524</v>
      </c>
      <c r="M31" s="8" t="s">
        <v>75</v>
      </c>
      <c r="N31" s="37">
        <f>H28/N28</f>
        <v>65.9513107740179</v>
      </c>
    </row>
  </sheetData>
  <mergeCells count="6">
    <mergeCell ref="A1:N1"/>
    <mergeCell ref="A2:N2"/>
    <mergeCell ref="G27:H27"/>
    <mergeCell ref="I27:J27"/>
    <mergeCell ref="K27:L27"/>
    <mergeCell ref="M27:N27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scale="86" r:id="rId2"/>
  <headerFooter alignWithMargins="0">
    <oddFooter>&amp;L&amp;8&amp;F/&amp;A&amp;R&amp;"Arial,Grassetto"&amp;11ANNEX11D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ictp</cp:lastModifiedBy>
  <cp:lastPrinted>2003-02-10T09:06:26Z</cp:lastPrinted>
  <dcterms:created xsi:type="dcterms:W3CDTF">2001-02-18T15:54:53Z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