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0"/>
  </bookViews>
  <sheets>
    <sheet name="structure" sheetId="1" r:id="rId1"/>
    <sheet name="traffic" sheetId="2" r:id="rId2"/>
    <sheet name="cost" sheetId="3" r:id="rId3"/>
  </sheets>
  <definedNames>
    <definedName name="_xlnm.Print_Area" localSheetId="2">'cost'!$A$1:$E$42</definedName>
    <definedName name="_xlnm.Print_Area" localSheetId="0">'structure'!$A$1:$E$42</definedName>
    <definedName name="_xlnm.Print_Area" localSheetId="1">'traffic'!$A$1:$E$42</definedName>
  </definedNames>
  <calcPr fullCalcOnLoad="1"/>
</workbook>
</file>

<file path=xl/sharedStrings.xml><?xml version="1.0" encoding="utf-8"?>
<sst xmlns="http://schemas.openxmlformats.org/spreadsheetml/2006/main" count="72" uniqueCount="40">
  <si>
    <t>Basic structure of cellular plant</t>
  </si>
  <si>
    <t>BTS</t>
  </si>
  <si>
    <t>BSC</t>
  </si>
  <si>
    <t>Traffic demand: expressed preference</t>
  </si>
  <si>
    <t>reference</t>
  </si>
  <si>
    <t>years</t>
  </si>
  <si>
    <t>peak erlang</t>
  </si>
  <si>
    <t>BTS chan</t>
  </si>
  <si>
    <t>BTS erlang</t>
  </si>
  <si>
    <t>MSC erlang</t>
  </si>
  <si>
    <t>operated</t>
  </si>
  <si>
    <t>Cost of cellular network</t>
  </si>
  <si>
    <t>MSC</t>
  </si>
  <si>
    <t>consumption</t>
  </si>
  <si>
    <t>BTS capacity</t>
  </si>
  <si>
    <t>min/line</t>
  </si>
  <si>
    <t xml:space="preserve"> MSC capacity</t>
  </si>
  <si>
    <t>cost/line</t>
  </si>
  <si>
    <t>TOTAL</t>
  </si>
  <si>
    <t>capacity</t>
  </si>
  <si>
    <t>cost/1000</t>
  </si>
  <si>
    <t>Table 1. Reference cost at Regional (Africa) level (US$)</t>
  </si>
  <si>
    <t>Table 2. Deriving cost of GSM network in Nigeria (000 US$)</t>
  </si>
  <si>
    <t>NIGERIA CASE STUDY: THE GSM SERVICE</t>
  </si>
  <si>
    <t>Table 1. Reference consumption at Regional (Africa) level</t>
  </si>
  <si>
    <t>Table 2. Deriving expressed consumption in Nigeria</t>
  </si>
  <si>
    <t>NIGERIA CASE STUDY : THE GSM SERVICE</t>
  </si>
  <si>
    <t>Table 1. Reference plant structure at Regional (Africa) level</t>
  </si>
  <si>
    <t>Table 2. Deriving cellular plant structure in Nigeria</t>
  </si>
  <si>
    <t>lines per</t>
  </si>
  <si>
    <t>BTS per</t>
  </si>
  <si>
    <t xml:space="preserve">transit </t>
  </si>
  <si>
    <t>Lines</t>
  </si>
  <si>
    <t>Number</t>
  </si>
  <si>
    <t>of BTS</t>
  </si>
  <si>
    <t>of BSC</t>
  </si>
  <si>
    <t xml:space="preserve">Number </t>
  </si>
  <si>
    <t>of MSC</t>
  </si>
  <si>
    <t>per line</t>
  </si>
  <si>
    <t>Plant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</si>
</sst>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0.0000"/>
  </numFmts>
  <fonts count="5">
    <font>
      <sz val="10"/>
      <name val="Arial"/>
      <family val="0"/>
    </font>
    <font>
      <b/>
      <sz val="12"/>
      <name val="Arial Black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1" fontId="4" fillId="0" borderId="3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="75" zoomScaleNormal="75" workbookViewId="0" topLeftCell="A1">
      <selection activeCell="A1" sqref="A1:E1"/>
    </sheetView>
  </sheetViews>
  <sheetFormatPr defaultColWidth="9.140625" defaultRowHeight="12.75"/>
  <cols>
    <col min="1" max="1" width="12.7109375" style="0" customWidth="1"/>
    <col min="2" max="5" width="13.7109375" style="0" customWidth="1"/>
  </cols>
  <sheetData>
    <row r="1" spans="1:5" ht="19.5">
      <c r="A1" s="11" t="s">
        <v>26</v>
      </c>
      <c r="B1" s="11"/>
      <c r="C1" s="11"/>
      <c r="D1" s="11"/>
      <c r="E1" s="11"/>
    </row>
    <row r="2" spans="1:5" ht="19.5">
      <c r="A2" s="11" t="s">
        <v>0</v>
      </c>
      <c r="B2" s="11"/>
      <c r="C2" s="11"/>
      <c r="D2" s="11"/>
      <c r="E2" s="11"/>
    </row>
    <row r="3" spans="1:5" ht="12.75" customHeight="1">
      <c r="A3" s="1"/>
      <c r="B3" s="1"/>
      <c r="C3" s="1"/>
      <c r="D3" s="1"/>
      <c r="E3" s="1"/>
    </row>
    <row r="4" spans="1:5" ht="12.75" customHeight="1">
      <c r="A4" s="2" t="s">
        <v>27</v>
      </c>
      <c r="B4" s="2"/>
      <c r="C4" s="2"/>
      <c r="D4" s="2"/>
      <c r="E4" s="2"/>
    </row>
    <row r="5" spans="1:5" ht="12.75">
      <c r="A5" s="3" t="s">
        <v>4</v>
      </c>
      <c r="B5" s="3" t="s">
        <v>29</v>
      </c>
      <c r="C5" s="3" t="s">
        <v>30</v>
      </c>
      <c r="D5" s="3" t="s">
        <v>30</v>
      </c>
      <c r="E5" s="3" t="s">
        <v>31</v>
      </c>
    </row>
    <row r="6" spans="1:5" ht="12.75">
      <c r="A6" s="4" t="s">
        <v>5</v>
      </c>
      <c r="B6" s="4" t="s">
        <v>1</v>
      </c>
      <c r="C6" s="4" t="s">
        <v>2</v>
      </c>
      <c r="D6" s="4" t="s">
        <v>12</v>
      </c>
      <c r="E6" s="4" t="s">
        <v>12</v>
      </c>
    </row>
    <row r="7" spans="1:5" ht="12.75">
      <c r="A7" s="5">
        <v>1992</v>
      </c>
      <c r="B7" s="5"/>
      <c r="C7" s="5"/>
      <c r="D7" s="5"/>
      <c r="E7" s="9"/>
    </row>
    <row r="8" spans="1:5" ht="12.75">
      <c r="A8" s="5">
        <f>A7+1</f>
        <v>1993</v>
      </c>
      <c r="B8" s="5"/>
      <c r="C8" s="5"/>
      <c r="D8" s="5"/>
      <c r="E8" s="9"/>
    </row>
    <row r="9" spans="1:5" ht="12.75">
      <c r="A9" s="5">
        <f aca="true" t="shared" si="0" ref="A9:A22">A8+1</f>
        <v>1994</v>
      </c>
      <c r="B9" s="8">
        <v>167</v>
      </c>
      <c r="C9" s="8">
        <v>111</v>
      </c>
      <c r="D9" s="8">
        <v>260</v>
      </c>
      <c r="E9" s="9">
        <v>0</v>
      </c>
    </row>
    <row r="10" spans="1:5" ht="12.75">
      <c r="A10" s="5">
        <f t="shared" si="0"/>
        <v>1995</v>
      </c>
      <c r="B10" s="8">
        <v>135</v>
      </c>
      <c r="C10" s="8">
        <v>111</v>
      </c>
      <c r="D10" s="8">
        <v>279</v>
      </c>
      <c r="E10" s="9">
        <v>0.0714</v>
      </c>
    </row>
    <row r="11" spans="1:5" ht="12.75">
      <c r="A11" s="5">
        <f t="shared" si="0"/>
        <v>1996</v>
      </c>
      <c r="B11" s="8">
        <v>142</v>
      </c>
      <c r="C11" s="8">
        <v>112</v>
      </c>
      <c r="D11" s="8">
        <v>305</v>
      </c>
      <c r="E11" s="9">
        <v>0.0476</v>
      </c>
    </row>
    <row r="12" spans="1:5" ht="12.75">
      <c r="A12" s="5">
        <f t="shared" si="0"/>
        <v>1997</v>
      </c>
      <c r="B12" s="8">
        <v>106</v>
      </c>
      <c r="C12" s="8">
        <v>113</v>
      </c>
      <c r="D12" s="8">
        <v>310</v>
      </c>
      <c r="E12" s="9">
        <v>0.0784</v>
      </c>
    </row>
    <row r="13" spans="1:5" ht="12.75">
      <c r="A13" s="5">
        <f t="shared" si="0"/>
        <v>1998</v>
      </c>
      <c r="B13" s="8">
        <v>98</v>
      </c>
      <c r="C13" s="8">
        <v>113</v>
      </c>
      <c r="D13" s="8">
        <v>311</v>
      </c>
      <c r="E13" s="9">
        <v>0.1222</v>
      </c>
    </row>
    <row r="14" spans="1:5" ht="12.75">
      <c r="A14" s="5">
        <f t="shared" si="0"/>
        <v>1999</v>
      </c>
      <c r="B14" s="8">
        <v>101</v>
      </c>
      <c r="C14" s="8">
        <v>110</v>
      </c>
      <c r="D14" s="8">
        <v>316</v>
      </c>
      <c r="E14" s="9">
        <v>0.1545</v>
      </c>
    </row>
    <row r="15" spans="1:5" ht="12.75">
      <c r="A15" s="5">
        <f t="shared" si="0"/>
        <v>2000</v>
      </c>
      <c r="B15" s="8">
        <v>113</v>
      </c>
      <c r="C15" s="8">
        <v>110</v>
      </c>
      <c r="D15" s="8">
        <v>320</v>
      </c>
      <c r="E15" s="9">
        <v>0.1862</v>
      </c>
    </row>
    <row r="16" spans="1:5" ht="12.75">
      <c r="A16" s="5">
        <f t="shared" si="0"/>
        <v>2001</v>
      </c>
      <c r="B16" s="8">
        <v>130</v>
      </c>
      <c r="C16" s="8">
        <v>112</v>
      </c>
      <c r="D16" s="8">
        <v>335</v>
      </c>
      <c r="E16" s="9">
        <v>0.1859</v>
      </c>
    </row>
    <row r="17" spans="1:5" ht="12.75">
      <c r="A17" s="5">
        <f t="shared" si="0"/>
        <v>2002</v>
      </c>
      <c r="B17" s="8"/>
      <c r="C17" s="8"/>
      <c r="D17" s="8"/>
      <c r="E17" s="9"/>
    </row>
    <row r="18" spans="1:5" ht="12.75">
      <c r="A18" s="5">
        <f t="shared" si="0"/>
        <v>2003</v>
      </c>
      <c r="B18" s="8"/>
      <c r="C18" s="8"/>
      <c r="D18" s="8"/>
      <c r="E18" s="9"/>
    </row>
    <row r="19" spans="1:5" ht="12.75">
      <c r="A19" s="5">
        <f t="shared" si="0"/>
        <v>2004</v>
      </c>
      <c r="B19" s="8"/>
      <c r="C19" s="8"/>
      <c r="D19" s="8"/>
      <c r="E19" s="9"/>
    </row>
    <row r="20" spans="1:5" ht="12.75">
      <c r="A20" s="5">
        <f t="shared" si="0"/>
        <v>2005</v>
      </c>
      <c r="B20" s="8"/>
      <c r="C20" s="8"/>
      <c r="D20" s="8"/>
      <c r="E20" s="9"/>
    </row>
    <row r="21" spans="1:5" ht="12.75">
      <c r="A21" s="5">
        <f t="shared" si="0"/>
        <v>2006</v>
      </c>
      <c r="B21" s="8"/>
      <c r="C21" s="8"/>
      <c r="D21" s="8"/>
      <c r="E21" s="9"/>
    </row>
    <row r="22" spans="1:5" ht="12.75">
      <c r="A22" s="5">
        <f t="shared" si="0"/>
        <v>2007</v>
      </c>
      <c r="B22" s="8"/>
      <c r="C22" s="8"/>
      <c r="D22" s="8"/>
      <c r="E22" s="5"/>
    </row>
    <row r="23" spans="1:5" ht="12.75">
      <c r="A23" s="2"/>
      <c r="B23" s="2"/>
      <c r="C23" s="2"/>
      <c r="D23" s="2"/>
      <c r="E23" s="2"/>
    </row>
    <row r="24" spans="1:5" ht="12.75">
      <c r="A24" s="2" t="s">
        <v>28</v>
      </c>
      <c r="B24" s="2"/>
      <c r="C24" s="2"/>
      <c r="D24" s="2"/>
      <c r="E24" s="2"/>
    </row>
    <row r="25" spans="1:5" ht="12.75">
      <c r="A25" s="3" t="s">
        <v>4</v>
      </c>
      <c r="B25" s="3" t="s">
        <v>39</v>
      </c>
      <c r="C25" s="3" t="s">
        <v>33</v>
      </c>
      <c r="D25" s="3" t="s">
        <v>33</v>
      </c>
      <c r="E25" s="3" t="s">
        <v>36</v>
      </c>
    </row>
    <row r="26" spans="1:5" ht="12.75">
      <c r="A26" s="4" t="s">
        <v>5</v>
      </c>
      <c r="B26" s="4" t="s">
        <v>19</v>
      </c>
      <c r="C26" s="4" t="s">
        <v>34</v>
      </c>
      <c r="D26" s="4" t="s">
        <v>35</v>
      </c>
      <c r="E26" s="4" t="s">
        <v>37</v>
      </c>
    </row>
    <row r="27" spans="1:5" ht="12.75">
      <c r="A27" s="5">
        <v>1992</v>
      </c>
      <c r="B27" s="5"/>
      <c r="C27" s="5"/>
      <c r="D27" s="5"/>
      <c r="E27" s="8"/>
    </row>
    <row r="28" spans="1:5" ht="12.75">
      <c r="A28" s="5">
        <f>A27+1</f>
        <v>1993</v>
      </c>
      <c r="B28" s="12">
        <f>9603/0.85</f>
        <v>11297.64705882353</v>
      </c>
      <c r="C28" s="12"/>
      <c r="D28" s="12"/>
      <c r="E28" s="12"/>
    </row>
    <row r="29" spans="1:5" ht="12.75">
      <c r="A29" s="5">
        <f aca="true" t="shared" si="1" ref="A29:A42">A28+1</f>
        <v>1994</v>
      </c>
      <c r="B29" s="12">
        <f>11214/0.85</f>
        <v>13192.94117647059</v>
      </c>
      <c r="C29" s="12">
        <f>B29/B9</f>
        <v>78.99964776329693</v>
      </c>
      <c r="D29" s="12">
        <f>C29/C9</f>
        <v>0.7117085384080805</v>
      </c>
      <c r="E29" s="12">
        <f>C29/D9</f>
        <v>0.3038447990896036</v>
      </c>
    </row>
    <row r="30" spans="1:5" ht="12.75">
      <c r="A30" s="5">
        <f t="shared" si="1"/>
        <v>1995</v>
      </c>
      <c r="B30" s="12">
        <f>12903/0.85</f>
        <v>15180</v>
      </c>
      <c r="C30" s="12">
        <f>B30/B10</f>
        <v>112.44444444444444</v>
      </c>
      <c r="D30" s="12">
        <f>C30/C10</f>
        <v>1.013013013013013</v>
      </c>
      <c r="E30" s="12">
        <f>C30/D10</f>
        <v>0.40302668259657504</v>
      </c>
    </row>
    <row r="31" spans="1:5" ht="12.75">
      <c r="A31" s="5">
        <f t="shared" si="1"/>
        <v>1996</v>
      </c>
      <c r="B31" s="12">
        <f>14666/0.85</f>
        <v>17254.117647058825</v>
      </c>
      <c r="C31" s="12">
        <f>B31/B11</f>
        <v>121.50787075393539</v>
      </c>
      <c r="D31" s="12">
        <f>C31/C11</f>
        <v>1.0848917031601375</v>
      </c>
      <c r="E31" s="12">
        <f>C31/D11</f>
        <v>0.39838646148831275</v>
      </c>
    </row>
    <row r="32" spans="1:5" ht="12.75">
      <c r="A32" s="5">
        <f t="shared" si="1"/>
        <v>1997</v>
      </c>
      <c r="B32" s="12">
        <f>16500/0.85</f>
        <v>19411.764705882353</v>
      </c>
      <c r="C32" s="12">
        <f>B32/B12</f>
        <v>183.12985571587126</v>
      </c>
      <c r="D32" s="12">
        <f>C32/C12</f>
        <v>1.6206181921758518</v>
      </c>
      <c r="E32" s="12">
        <f>C32/D12</f>
        <v>0.5907414700511976</v>
      </c>
    </row>
    <row r="33" spans="1:5" ht="12.75">
      <c r="A33" s="5">
        <f t="shared" si="1"/>
        <v>1998</v>
      </c>
      <c r="B33" s="12">
        <f>18401/0.85</f>
        <v>21648.235294117647</v>
      </c>
      <c r="C33" s="12">
        <f>B33/B13</f>
        <v>220.90036014405763</v>
      </c>
      <c r="D33" s="12">
        <f>C33/C13</f>
        <v>1.9548704437527225</v>
      </c>
      <c r="E33" s="12">
        <f>C33/D13</f>
        <v>0.710290547087002</v>
      </c>
    </row>
    <row r="34" spans="1:5" ht="12.75">
      <c r="A34" s="5">
        <f t="shared" si="1"/>
        <v>1999</v>
      </c>
      <c r="B34" s="12">
        <f>20368/0.85</f>
        <v>23962.352941176472</v>
      </c>
      <c r="C34" s="12">
        <f>B34/B14</f>
        <v>237.25101921956903</v>
      </c>
      <c r="D34" s="12">
        <f>C34/C14</f>
        <v>2.1568274474506275</v>
      </c>
      <c r="E34" s="12">
        <f>C34/D14</f>
        <v>0.7507943646188894</v>
      </c>
    </row>
    <row r="35" spans="1:5" ht="12.75">
      <c r="A35" s="5">
        <f t="shared" si="1"/>
        <v>2000</v>
      </c>
      <c r="B35" s="12">
        <f>22397/0.85</f>
        <v>26349.411764705885</v>
      </c>
      <c r="C35" s="12">
        <f>B35/B15</f>
        <v>233.1806350858928</v>
      </c>
      <c r="D35" s="12">
        <f>C35/C15</f>
        <v>2.119823955326298</v>
      </c>
      <c r="E35" s="12">
        <f>C35/D15</f>
        <v>0.728689484643415</v>
      </c>
    </row>
    <row r="36" spans="1:5" ht="12.75">
      <c r="A36" s="5">
        <f t="shared" si="1"/>
        <v>2001</v>
      </c>
      <c r="B36" s="13">
        <f>24488/0.85</f>
        <v>28809.411764705885</v>
      </c>
      <c r="C36" s="12">
        <f>B36/$B$16</f>
        <v>221.6108597285068</v>
      </c>
      <c r="D36" s="12">
        <f>C36/$C$16</f>
        <v>1.9786683904330964</v>
      </c>
      <c r="E36" s="12">
        <f>C36/$D$16</f>
        <v>0.6615249544134532</v>
      </c>
    </row>
    <row r="37" spans="1:5" ht="12.75">
      <c r="A37" s="5">
        <f t="shared" si="1"/>
        <v>2002</v>
      </c>
      <c r="B37" s="12">
        <f>26637/0.85</f>
        <v>31337.64705882353</v>
      </c>
      <c r="C37" s="14">
        <f aca="true" t="shared" si="2" ref="C37:C42">B37/$B$16</f>
        <v>241.05882352941177</v>
      </c>
      <c r="D37" s="14">
        <f aca="true" t="shared" si="3" ref="D37:D42">C37/$C$16</f>
        <v>2.152310924369748</v>
      </c>
      <c r="E37" s="14">
        <f aca="true" t="shared" si="4" ref="E37:E42">C37/$D$16</f>
        <v>0.7195785776997367</v>
      </c>
    </row>
    <row r="38" spans="1:5" ht="12.75">
      <c r="A38" s="5">
        <f t="shared" si="1"/>
        <v>2003</v>
      </c>
      <c r="B38" s="12">
        <f>28843/0.85</f>
        <v>33932.94117647059</v>
      </c>
      <c r="C38" s="14">
        <f t="shared" si="2"/>
        <v>261.0226244343891</v>
      </c>
      <c r="D38" s="14">
        <f t="shared" si="3"/>
        <v>2.330559146735617</v>
      </c>
      <c r="E38" s="14">
        <f t="shared" si="4"/>
        <v>0.7791720132369825</v>
      </c>
    </row>
    <row r="39" spans="1:5" ht="12.75">
      <c r="A39" s="5">
        <f t="shared" si="1"/>
        <v>2004</v>
      </c>
      <c r="B39" s="12">
        <f>31105/0.85</f>
        <v>36594.117647058825</v>
      </c>
      <c r="C39" s="14">
        <f t="shared" si="2"/>
        <v>281.49321266968326</v>
      </c>
      <c r="D39" s="14">
        <f t="shared" si="3"/>
        <v>2.5133322559793148</v>
      </c>
      <c r="E39" s="14">
        <f t="shared" si="4"/>
        <v>0.8402782467751739</v>
      </c>
    </row>
    <row r="40" spans="1:5" ht="12.75">
      <c r="A40" s="5">
        <f t="shared" si="1"/>
        <v>2005</v>
      </c>
      <c r="B40" s="12">
        <f>33421/0.85</f>
        <v>39318.82352941176</v>
      </c>
      <c r="C40" s="14">
        <f t="shared" si="2"/>
        <v>302.45248868778276</v>
      </c>
      <c r="D40" s="14">
        <f t="shared" si="3"/>
        <v>2.7004686489980605</v>
      </c>
      <c r="E40" s="14">
        <f t="shared" si="4"/>
        <v>0.9028432498142769</v>
      </c>
    </row>
    <row r="41" spans="1:5" ht="12.75">
      <c r="A41" s="5">
        <f t="shared" si="1"/>
        <v>2006</v>
      </c>
      <c r="B41" s="12">
        <f>35789/0.85</f>
        <v>42104.705882352944</v>
      </c>
      <c r="C41" s="14">
        <f t="shared" si="2"/>
        <v>323.8823529411765</v>
      </c>
      <c r="D41" s="14">
        <f t="shared" si="3"/>
        <v>2.891806722689076</v>
      </c>
      <c r="E41" s="14">
        <f t="shared" si="4"/>
        <v>0.9668129938542582</v>
      </c>
    </row>
    <row r="42" spans="1:5" ht="12.75">
      <c r="A42" s="5">
        <f t="shared" si="1"/>
        <v>2007</v>
      </c>
      <c r="B42" s="12">
        <f>38209/0.85</f>
        <v>44951.76470588236</v>
      </c>
      <c r="C42" s="14">
        <f t="shared" si="2"/>
        <v>345.7828054298643</v>
      </c>
      <c r="D42" s="14">
        <f t="shared" si="3"/>
        <v>3.08734647705236</v>
      </c>
      <c r="E42" s="14">
        <f t="shared" si="4"/>
        <v>1.0321874788951173</v>
      </c>
    </row>
  </sheetData>
  <mergeCells count="2">
    <mergeCell ref="A2:E2"/>
    <mergeCell ref="A1:E1"/>
  </mergeCells>
  <printOptions horizontalCentered="1" verticalCentered="1"/>
  <pageMargins left="0.984251968503937" right="0.984251968503937" top="1.1811023622047245" bottom="1.1811023622047245" header="0.7086614173228347" footer="0.7086614173228347"/>
  <pageSetup fitToHeight="1" fitToWidth="1" horizontalDpi="300" verticalDpi="300" orientation="portrait" paperSize="9" r:id="rId1"/>
  <headerFooter alignWithMargins="0">
    <oddHeader>&amp;R&amp;"Arial,Grassetto"&amp;11ANNEX 6</oddHeader>
    <oddFooter>&amp;L&amp;8&amp;F/&amp;A&amp;R&amp;8&amp;D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="75" zoomScaleNormal="75" workbookViewId="0" topLeftCell="A1">
      <selection activeCell="A1" sqref="A1:E1"/>
    </sheetView>
  </sheetViews>
  <sheetFormatPr defaultColWidth="9.140625" defaultRowHeight="12.75"/>
  <cols>
    <col min="1" max="1" width="12.7109375" style="0" customWidth="1"/>
    <col min="2" max="5" width="13.7109375" style="0" customWidth="1"/>
  </cols>
  <sheetData>
    <row r="1" spans="1:5" ht="19.5">
      <c r="A1" s="11" t="s">
        <v>23</v>
      </c>
      <c r="B1" s="11"/>
      <c r="C1" s="11"/>
      <c r="D1" s="11"/>
      <c r="E1" s="11"/>
    </row>
    <row r="2" spans="1:5" ht="19.5">
      <c r="A2" s="11" t="s">
        <v>3</v>
      </c>
      <c r="B2" s="11"/>
      <c r="C2" s="11"/>
      <c r="D2" s="11"/>
      <c r="E2" s="11"/>
    </row>
    <row r="3" spans="1:5" ht="12.75" customHeight="1">
      <c r="A3" s="1"/>
      <c r="B3" s="1"/>
      <c r="C3" s="1"/>
      <c r="D3" s="1"/>
      <c r="E3" s="1"/>
    </row>
    <row r="4" spans="1:5" ht="12.75" customHeight="1">
      <c r="A4" s="2" t="s">
        <v>24</v>
      </c>
      <c r="B4" s="2"/>
      <c r="C4" s="2"/>
      <c r="D4" s="2"/>
      <c r="E4" s="2"/>
    </row>
    <row r="5" spans="1:5" ht="12.75">
      <c r="A5" s="3" t="s">
        <v>4</v>
      </c>
      <c r="B5" s="3" t="s">
        <v>6</v>
      </c>
      <c r="C5" s="3" t="s">
        <v>7</v>
      </c>
      <c r="D5" s="3" t="s">
        <v>8</v>
      </c>
      <c r="E5" s="3" t="s">
        <v>9</v>
      </c>
    </row>
    <row r="6" spans="1:5" ht="12.75">
      <c r="A6" s="4" t="s">
        <v>5</v>
      </c>
      <c r="B6" s="4" t="s">
        <v>38</v>
      </c>
      <c r="C6" s="4" t="s">
        <v>38</v>
      </c>
      <c r="D6" s="4" t="s">
        <v>38</v>
      </c>
      <c r="E6" s="4" t="s">
        <v>38</v>
      </c>
    </row>
    <row r="7" spans="1:5" ht="12.75">
      <c r="A7" s="5">
        <v>1992</v>
      </c>
      <c r="B7" s="6"/>
      <c r="C7" s="6"/>
      <c r="D7" s="5"/>
      <c r="E7" s="6"/>
    </row>
    <row r="8" spans="1:5" ht="12.75">
      <c r="A8" s="5">
        <f>A7+1</f>
        <v>1993</v>
      </c>
      <c r="B8" s="6"/>
      <c r="C8" s="6"/>
      <c r="D8" s="5"/>
      <c r="E8" s="6"/>
    </row>
    <row r="9" spans="1:5" ht="12.75">
      <c r="A9" s="5">
        <f aca="true" t="shared" si="0" ref="A9:A22">A8+1</f>
        <v>1994</v>
      </c>
      <c r="B9" s="6">
        <f>3.6/217.3</f>
        <v>0.016566958122411414</v>
      </c>
      <c r="C9" s="6">
        <f>10600/217300</f>
        <v>0.04878048780487805</v>
      </c>
      <c r="D9" s="6">
        <f>9.3/217.3</f>
        <v>0.042797975149562816</v>
      </c>
      <c r="E9" s="6">
        <f>10.1/217.3</f>
        <v>0.04647952139898757</v>
      </c>
    </row>
    <row r="10" spans="1:5" ht="12.75">
      <c r="A10" s="5">
        <f t="shared" si="0"/>
        <v>1995</v>
      </c>
      <c r="B10" s="6">
        <f>11.8/527.2</f>
        <v>0.022382397572078907</v>
      </c>
      <c r="C10" s="6">
        <f>31500/527200</f>
        <v>0.05974962063732929</v>
      </c>
      <c r="D10" s="6">
        <f>27.5/527.2</f>
        <v>0.05216236722306525</v>
      </c>
      <c r="E10" s="6">
        <f>28.1/527.2</f>
        <v>0.05330045523520485</v>
      </c>
    </row>
    <row r="11" spans="1:5" ht="12.75">
      <c r="A11" s="5">
        <f t="shared" si="0"/>
        <v>1996</v>
      </c>
      <c r="B11" s="6">
        <f>20.9/908</f>
        <v>0.023017621145374447</v>
      </c>
      <c r="C11" s="6">
        <f>51400/908000</f>
        <v>0.0566079295154185</v>
      </c>
      <c r="D11" s="6">
        <f>44.9/908</f>
        <v>0.04944933920704846</v>
      </c>
      <c r="E11" s="6">
        <f>41.6/908</f>
        <v>0.04581497797356828</v>
      </c>
    </row>
    <row r="12" spans="1:5" ht="12.75">
      <c r="A12" s="5">
        <f t="shared" si="0"/>
        <v>1997</v>
      </c>
      <c r="B12" s="6">
        <f>55.2/1654.8</f>
        <v>0.03335750543872371</v>
      </c>
      <c r="C12" s="6">
        <f>128000/1654800</f>
        <v>0.0773507372492144</v>
      </c>
      <c r="D12" s="6">
        <f>112.2/1654.8</f>
        <v>0.0678027556200145</v>
      </c>
      <c r="E12" s="6">
        <f>101.6/1654.8</f>
        <v>0.06139714769156393</v>
      </c>
    </row>
    <row r="13" spans="1:5" ht="12.75">
      <c r="A13" s="5">
        <f t="shared" si="0"/>
        <v>1998</v>
      </c>
      <c r="B13" s="6">
        <f>103.3/2740</f>
        <v>0.0377007299270073</v>
      </c>
      <c r="C13" s="6">
        <f>230500/2740000</f>
        <v>0.08412408759124088</v>
      </c>
      <c r="D13" s="6">
        <f>202.5/2740</f>
        <v>0.0739051094890511</v>
      </c>
      <c r="E13" s="6">
        <f>180.6/2740</f>
        <v>0.06591240875912409</v>
      </c>
    </row>
    <row r="14" spans="1:5" ht="12.75">
      <c r="A14" s="5">
        <f t="shared" si="0"/>
        <v>1999</v>
      </c>
      <c r="B14" s="6">
        <f>150.3/3942.5</f>
        <v>0.03812301838934686</v>
      </c>
      <c r="C14" s="6">
        <f>326400/3942500</f>
        <v>0.08279010779961953</v>
      </c>
      <c r="D14" s="6">
        <f>287.5/3942.5</f>
        <v>0.07292327203551047</v>
      </c>
      <c r="E14" s="6">
        <f>252.4/3942.5</f>
        <v>0.06402029169308815</v>
      </c>
    </row>
    <row r="15" spans="1:5" ht="12.75">
      <c r="A15" s="5">
        <f t="shared" si="0"/>
        <v>2000</v>
      </c>
      <c r="B15" s="6">
        <f>186.4/5266.1</f>
        <v>0.035396213516644195</v>
      </c>
      <c r="C15" s="6">
        <f>397500/5266100</f>
        <v>0.07548280511194243</v>
      </c>
      <c r="D15" s="6">
        <f>351/5266.1</f>
        <v>0.06665274111771519</v>
      </c>
      <c r="E15" s="6">
        <f>303.5/5266.1</f>
        <v>0.057632783274149745</v>
      </c>
    </row>
    <row r="16" spans="1:5" ht="12.75">
      <c r="A16" s="5">
        <f t="shared" si="0"/>
        <v>2001</v>
      </c>
      <c r="B16" s="6">
        <f>213.5/6811.7</f>
        <v>0.03134313020244579</v>
      </c>
      <c r="C16" s="6">
        <f>452400/6811700</f>
        <v>0.06641513865848467</v>
      </c>
      <c r="D16" s="6">
        <f>400.2/6811.7</f>
        <v>0.05875185342865951</v>
      </c>
      <c r="E16" s="6">
        <f>340.8/6811.7</f>
        <v>0.050031563339548134</v>
      </c>
    </row>
    <row r="17" spans="1:5" ht="12.75">
      <c r="A17" s="5">
        <f t="shared" si="0"/>
        <v>2002</v>
      </c>
      <c r="B17" s="6"/>
      <c r="C17" s="6"/>
      <c r="D17" s="7"/>
      <c r="E17" s="6"/>
    </row>
    <row r="18" spans="1:5" ht="12.75">
      <c r="A18" s="5">
        <f t="shared" si="0"/>
        <v>2003</v>
      </c>
      <c r="B18" s="6"/>
      <c r="C18" s="6"/>
      <c r="D18" s="7"/>
      <c r="E18" s="6"/>
    </row>
    <row r="19" spans="1:5" ht="12.75">
      <c r="A19" s="5">
        <f t="shared" si="0"/>
        <v>2004</v>
      </c>
      <c r="B19" s="6"/>
      <c r="C19" s="6"/>
      <c r="D19" s="7"/>
      <c r="E19" s="6"/>
    </row>
    <row r="20" spans="1:5" ht="12.75">
      <c r="A20" s="5">
        <f t="shared" si="0"/>
        <v>2005</v>
      </c>
      <c r="B20" s="6"/>
      <c r="C20" s="6"/>
      <c r="D20" s="7"/>
      <c r="E20" s="6"/>
    </row>
    <row r="21" spans="1:5" ht="12.75">
      <c r="A21" s="5">
        <f t="shared" si="0"/>
        <v>2006</v>
      </c>
      <c r="B21" s="6"/>
      <c r="C21" s="6"/>
      <c r="D21" s="7"/>
      <c r="E21" s="6"/>
    </row>
    <row r="22" spans="1:5" ht="12.75">
      <c r="A22" s="5">
        <f t="shared" si="0"/>
        <v>2007</v>
      </c>
      <c r="B22" s="6"/>
      <c r="C22" s="6"/>
      <c r="D22" s="7"/>
      <c r="E22" s="6"/>
    </row>
    <row r="23" spans="1:5" ht="12.75">
      <c r="A23" s="2"/>
      <c r="B23" s="2"/>
      <c r="C23" s="2"/>
      <c r="D23" s="2"/>
      <c r="E23" s="2"/>
    </row>
    <row r="24" spans="1:5" ht="12.75">
      <c r="A24" s="2" t="s">
        <v>25</v>
      </c>
      <c r="B24" s="2"/>
      <c r="C24" s="2"/>
      <c r="D24" s="2"/>
      <c r="E24" s="2"/>
    </row>
    <row r="25" spans="1:5" ht="12.75">
      <c r="A25" s="3" t="s">
        <v>4</v>
      </c>
      <c r="B25" s="3" t="s">
        <v>32</v>
      </c>
      <c r="C25" s="3" t="s">
        <v>13</v>
      </c>
      <c r="D25" s="3" t="s">
        <v>14</v>
      </c>
      <c r="E25" s="3" t="s">
        <v>16</v>
      </c>
    </row>
    <row r="26" spans="1:5" ht="12.75">
      <c r="A26" s="4" t="s">
        <v>5</v>
      </c>
      <c r="B26" s="4" t="s">
        <v>10</v>
      </c>
      <c r="C26" s="4" t="s">
        <v>15</v>
      </c>
      <c r="D26" s="4" t="s">
        <v>15</v>
      </c>
      <c r="E26" s="4" t="s">
        <v>15</v>
      </c>
    </row>
    <row r="27" spans="1:5" ht="12.75">
      <c r="A27" s="5">
        <v>1992</v>
      </c>
      <c r="B27" s="5"/>
      <c r="C27" s="5"/>
      <c r="D27" s="5"/>
      <c r="E27" s="8"/>
    </row>
    <row r="28" spans="1:5" ht="12.75">
      <c r="A28" s="5">
        <f>A27+1</f>
        <v>1993</v>
      </c>
      <c r="B28" s="8">
        <v>9603</v>
      </c>
      <c r="C28" s="5"/>
      <c r="D28" s="5"/>
      <c r="E28" s="8"/>
    </row>
    <row r="29" spans="1:5" ht="12.75">
      <c r="A29" s="5">
        <f aca="true" t="shared" si="1" ref="A29:A42">A28+1</f>
        <v>1994</v>
      </c>
      <c r="B29" s="8">
        <v>11214</v>
      </c>
      <c r="C29" s="8">
        <f>B9*60*8*300</f>
        <v>2385.6419696272437</v>
      </c>
      <c r="D29" s="8">
        <f>D9*60*8*300</f>
        <v>6162.908421537045</v>
      </c>
      <c r="E29" s="8">
        <f>E9*60*8*300</f>
        <v>6693.051081454209</v>
      </c>
    </row>
    <row r="30" spans="1:5" ht="12.75">
      <c r="A30" s="5">
        <f t="shared" si="1"/>
        <v>1995</v>
      </c>
      <c r="B30" s="8">
        <v>12903</v>
      </c>
      <c r="C30" s="8">
        <f aca="true" t="shared" si="2" ref="C30:C35">B10*60*8*300</f>
        <v>3223.0652503793626</v>
      </c>
      <c r="D30" s="8">
        <f aca="true" t="shared" si="3" ref="D30:E35">D10*60*8*300</f>
        <v>7511.380880121396</v>
      </c>
      <c r="E30" s="8">
        <f t="shared" si="3"/>
        <v>7675.265553869498</v>
      </c>
    </row>
    <row r="31" spans="1:5" ht="12.75">
      <c r="A31" s="5">
        <f t="shared" si="1"/>
        <v>1996</v>
      </c>
      <c r="B31" s="8">
        <v>14666</v>
      </c>
      <c r="C31" s="8">
        <f t="shared" si="2"/>
        <v>3314.5374449339206</v>
      </c>
      <c r="D31" s="8">
        <f t="shared" si="3"/>
        <v>7120.704845814978</v>
      </c>
      <c r="E31" s="8">
        <f t="shared" si="3"/>
        <v>6597.356828193832</v>
      </c>
    </row>
    <row r="32" spans="1:5" ht="12.75">
      <c r="A32" s="5">
        <f t="shared" si="1"/>
        <v>1997</v>
      </c>
      <c r="B32" s="8">
        <v>16500</v>
      </c>
      <c r="C32" s="8">
        <f t="shared" si="2"/>
        <v>4803.480783176215</v>
      </c>
      <c r="D32" s="8">
        <f t="shared" si="3"/>
        <v>9763.59680928209</v>
      </c>
      <c r="E32" s="8">
        <f t="shared" si="3"/>
        <v>8841.189267585207</v>
      </c>
    </row>
    <row r="33" spans="1:5" ht="12.75">
      <c r="A33" s="5">
        <f t="shared" si="1"/>
        <v>1998</v>
      </c>
      <c r="B33" s="8">
        <v>18401</v>
      </c>
      <c r="C33" s="8">
        <f t="shared" si="2"/>
        <v>5428.905109489051</v>
      </c>
      <c r="D33" s="8">
        <f t="shared" si="3"/>
        <v>10642.335766423359</v>
      </c>
      <c r="E33" s="8">
        <f t="shared" si="3"/>
        <v>9491.38686131387</v>
      </c>
    </row>
    <row r="34" spans="1:5" ht="12.75">
      <c r="A34" s="5">
        <f t="shared" si="1"/>
        <v>1999</v>
      </c>
      <c r="B34" s="8">
        <v>20368</v>
      </c>
      <c r="C34" s="8">
        <f t="shared" si="2"/>
        <v>5489.7146480659485</v>
      </c>
      <c r="D34" s="8">
        <f t="shared" si="3"/>
        <v>10500.951173113508</v>
      </c>
      <c r="E34" s="8">
        <f t="shared" si="3"/>
        <v>9218.922003804693</v>
      </c>
    </row>
    <row r="35" spans="1:5" ht="12.75">
      <c r="A35" s="5">
        <f t="shared" si="1"/>
        <v>2000</v>
      </c>
      <c r="B35" s="8">
        <v>22397</v>
      </c>
      <c r="C35" s="8">
        <f t="shared" si="2"/>
        <v>5097.054746396764</v>
      </c>
      <c r="D35" s="8">
        <f t="shared" si="3"/>
        <v>9597.994720950988</v>
      </c>
      <c r="E35" s="8">
        <f t="shared" si="3"/>
        <v>8299.120791477562</v>
      </c>
    </row>
    <row r="36" spans="1:5" ht="12.75">
      <c r="A36" s="5">
        <f t="shared" si="1"/>
        <v>2001</v>
      </c>
      <c r="B36" s="2">
        <v>24488</v>
      </c>
      <c r="C36" s="8">
        <f>$B$16*60*8*300</f>
        <v>4513.4107491521945</v>
      </c>
      <c r="D36" s="8">
        <f>$D$16*60*8*300</f>
        <v>8460.26689372697</v>
      </c>
      <c r="E36" s="8">
        <f>$E$16*60*8*300</f>
        <v>7204.545120894931</v>
      </c>
    </row>
    <row r="37" spans="1:5" ht="12.75">
      <c r="A37" s="5">
        <f t="shared" si="1"/>
        <v>2002</v>
      </c>
      <c r="B37" s="8">
        <v>26637</v>
      </c>
      <c r="C37" s="10">
        <f aca="true" t="shared" si="4" ref="C37:C42">$B$16*60*8*300</f>
        <v>4513.4107491521945</v>
      </c>
      <c r="D37" s="10">
        <f aca="true" t="shared" si="5" ref="D37:D42">$D$16*60*8*300</f>
        <v>8460.26689372697</v>
      </c>
      <c r="E37" s="10">
        <f aca="true" t="shared" si="6" ref="E37:E42">$E$16*60*8*300</f>
        <v>7204.545120894931</v>
      </c>
    </row>
    <row r="38" spans="1:5" ht="12.75">
      <c r="A38" s="5">
        <f t="shared" si="1"/>
        <v>2003</v>
      </c>
      <c r="B38" s="8">
        <v>28843</v>
      </c>
      <c r="C38" s="10">
        <f t="shared" si="4"/>
        <v>4513.4107491521945</v>
      </c>
      <c r="D38" s="10">
        <f t="shared" si="5"/>
        <v>8460.26689372697</v>
      </c>
      <c r="E38" s="10">
        <f t="shared" si="6"/>
        <v>7204.545120894931</v>
      </c>
    </row>
    <row r="39" spans="1:5" ht="12.75">
      <c r="A39" s="5">
        <f t="shared" si="1"/>
        <v>2004</v>
      </c>
      <c r="B39" s="8">
        <v>31105</v>
      </c>
      <c r="C39" s="10">
        <f t="shared" si="4"/>
        <v>4513.4107491521945</v>
      </c>
      <c r="D39" s="10">
        <f t="shared" si="5"/>
        <v>8460.26689372697</v>
      </c>
      <c r="E39" s="10">
        <f t="shared" si="6"/>
        <v>7204.545120894931</v>
      </c>
    </row>
    <row r="40" spans="1:5" ht="12.75">
      <c r="A40" s="5">
        <f t="shared" si="1"/>
        <v>2005</v>
      </c>
      <c r="B40" s="8">
        <v>33421</v>
      </c>
      <c r="C40" s="10">
        <f t="shared" si="4"/>
        <v>4513.4107491521945</v>
      </c>
      <c r="D40" s="10">
        <f t="shared" si="5"/>
        <v>8460.26689372697</v>
      </c>
      <c r="E40" s="10">
        <f t="shared" si="6"/>
        <v>7204.545120894931</v>
      </c>
    </row>
    <row r="41" spans="1:5" ht="12.75">
      <c r="A41" s="5">
        <f t="shared" si="1"/>
        <v>2006</v>
      </c>
      <c r="B41" s="8">
        <v>35789</v>
      </c>
      <c r="C41" s="10">
        <f t="shared" si="4"/>
        <v>4513.4107491521945</v>
      </c>
      <c r="D41" s="10">
        <f t="shared" si="5"/>
        <v>8460.26689372697</v>
      </c>
      <c r="E41" s="10">
        <f t="shared" si="6"/>
        <v>7204.545120894931</v>
      </c>
    </row>
    <row r="42" spans="1:5" ht="12.75">
      <c r="A42" s="5">
        <f t="shared" si="1"/>
        <v>2007</v>
      </c>
      <c r="B42" s="8">
        <v>38209</v>
      </c>
      <c r="C42" s="10">
        <f t="shared" si="4"/>
        <v>4513.4107491521945</v>
      </c>
      <c r="D42" s="10">
        <f t="shared" si="5"/>
        <v>8460.26689372697</v>
      </c>
      <c r="E42" s="10">
        <f t="shared" si="6"/>
        <v>7204.545120894931</v>
      </c>
    </row>
  </sheetData>
  <mergeCells count="2">
    <mergeCell ref="A2:E2"/>
    <mergeCell ref="A1:E1"/>
  </mergeCells>
  <printOptions horizontalCentered="1" verticalCentered="1"/>
  <pageMargins left="0.984251968503937" right="0.984251968503937" top="1.1811023622047245" bottom="1.1811023622047245" header="0.7086614173228347" footer="0.7086614173228347"/>
  <pageSetup fitToHeight="1" fitToWidth="1" horizontalDpi="300" verticalDpi="300" orientation="portrait" paperSize="9" r:id="rId1"/>
  <headerFooter alignWithMargins="0">
    <oddHeader>&amp;R&amp;"Arial,Grassetto"&amp;11ANNEX 7</oddHeader>
    <oddFooter>&amp;L&amp;8&amp;F/&amp;A&amp;R&amp;8&amp;D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="75" zoomScaleNormal="75" workbookViewId="0" topLeftCell="A1">
      <selection activeCell="A1" sqref="A1:E1"/>
    </sheetView>
  </sheetViews>
  <sheetFormatPr defaultColWidth="9.140625" defaultRowHeight="12.75"/>
  <cols>
    <col min="1" max="1" width="12.7109375" style="0" customWidth="1"/>
    <col min="2" max="5" width="13.7109375" style="0" customWidth="1"/>
  </cols>
  <sheetData>
    <row r="1" spans="1:5" ht="19.5">
      <c r="A1" s="11" t="s">
        <v>23</v>
      </c>
      <c r="B1" s="11"/>
      <c r="C1" s="11"/>
      <c r="D1" s="11"/>
      <c r="E1" s="11"/>
    </row>
    <row r="2" spans="1:5" ht="19.5">
      <c r="A2" s="11" t="s">
        <v>11</v>
      </c>
      <c r="B2" s="11"/>
      <c r="C2" s="11"/>
      <c r="D2" s="11"/>
      <c r="E2" s="11"/>
    </row>
    <row r="3" spans="1:5" ht="12.75" customHeight="1">
      <c r="A3" s="1"/>
      <c r="B3" s="1"/>
      <c r="C3" s="1"/>
      <c r="D3" s="1"/>
      <c r="E3" s="1"/>
    </row>
    <row r="4" spans="1:5" ht="12.75">
      <c r="A4" s="2" t="s">
        <v>21</v>
      </c>
      <c r="B4" s="2"/>
      <c r="C4" s="2"/>
      <c r="D4" s="2"/>
      <c r="E4" s="2"/>
    </row>
    <row r="5" spans="1:5" ht="12.75">
      <c r="A5" s="3" t="s">
        <v>4</v>
      </c>
      <c r="B5" s="3" t="s">
        <v>1</v>
      </c>
      <c r="C5" s="3" t="s">
        <v>2</v>
      </c>
      <c r="D5" s="3" t="s">
        <v>12</v>
      </c>
      <c r="E5" s="3" t="s">
        <v>18</v>
      </c>
    </row>
    <row r="6" spans="1:5" ht="12.75">
      <c r="A6" s="4" t="s">
        <v>5</v>
      </c>
      <c r="B6" s="4" t="s">
        <v>17</v>
      </c>
      <c r="C6" s="4" t="s">
        <v>17</v>
      </c>
      <c r="D6" s="4" t="s">
        <v>17</v>
      </c>
      <c r="E6" s="4" t="s">
        <v>17</v>
      </c>
    </row>
    <row r="7" spans="1:5" ht="12.75">
      <c r="A7" s="5">
        <v>1992</v>
      </c>
      <c r="B7" s="8"/>
      <c r="C7" s="8"/>
      <c r="D7" s="8"/>
      <c r="E7" s="8"/>
    </row>
    <row r="8" spans="1:5" ht="12.75">
      <c r="A8" s="5">
        <f>A7+1</f>
        <v>1993</v>
      </c>
      <c r="B8" s="8"/>
      <c r="C8" s="8"/>
      <c r="D8" s="8"/>
      <c r="E8" s="8"/>
    </row>
    <row r="9" spans="1:5" ht="12.75">
      <c r="A9" s="5">
        <f aca="true" t="shared" si="0" ref="A9:A22">A8+1</f>
        <v>1994</v>
      </c>
      <c r="B9" s="8">
        <f>72200/217.3</f>
        <v>332.2595490105844</v>
      </c>
      <c r="C9" s="8">
        <f>9600000/217300</f>
        <v>44.1785549930971</v>
      </c>
      <c r="D9" s="8">
        <f>(85500+20900)/217.3</f>
        <v>489.64565117349287</v>
      </c>
      <c r="E9" s="8">
        <f>SUM(B9:D9)</f>
        <v>866.0837551771745</v>
      </c>
    </row>
    <row r="10" spans="1:5" ht="12.75">
      <c r="A10" s="5">
        <f t="shared" si="0"/>
        <v>1995</v>
      </c>
      <c r="B10" s="8">
        <f>184100/527.2</f>
        <v>349.20333839150226</v>
      </c>
      <c r="C10" s="8">
        <f>24800000/527200</f>
        <v>47.040971168437025</v>
      </c>
      <c r="D10" s="8">
        <f>(218800+39600)/527.2</f>
        <v>490.1365705614567</v>
      </c>
      <c r="E10" s="8">
        <f aca="true" t="shared" si="1" ref="E10:E16">SUM(B10:D10)</f>
        <v>886.380880121396</v>
      </c>
    </row>
    <row r="11" spans="1:5" ht="12.75">
      <c r="A11" s="5">
        <f t="shared" si="0"/>
        <v>1996</v>
      </c>
      <c r="B11" s="8">
        <f>256600.9/908</f>
        <v>282.6001101321586</v>
      </c>
      <c r="C11" s="8">
        <f>35200000/908000</f>
        <v>38.76651982378855</v>
      </c>
      <c r="D11" s="8">
        <f>(305900+56700)/908</f>
        <v>399.33920704845815</v>
      </c>
      <c r="E11" s="8">
        <f t="shared" si="1"/>
        <v>720.7058370044053</v>
      </c>
    </row>
    <row r="12" spans="1:5" ht="12.75">
      <c r="A12" s="5">
        <f t="shared" si="0"/>
        <v>1997</v>
      </c>
      <c r="B12" s="8">
        <f>570400/1654.8</f>
        <v>344.6942228668117</v>
      </c>
      <c r="C12" s="8">
        <f>76100000/1654800</f>
        <v>45.987430505197004</v>
      </c>
      <c r="D12" s="8">
        <f>(677800+117000)/1654.8</f>
        <v>480.29973410684073</v>
      </c>
      <c r="E12" s="8">
        <f t="shared" si="1"/>
        <v>870.9813874788495</v>
      </c>
    </row>
    <row r="13" spans="1:5" ht="12.75">
      <c r="A13" s="5">
        <f t="shared" si="0"/>
        <v>1998</v>
      </c>
      <c r="B13" s="8">
        <f>898800/2740</f>
        <v>328.02919708029196</v>
      </c>
      <c r="C13" s="8">
        <f>120400000/2740000</f>
        <v>43.941605839416056</v>
      </c>
      <c r="D13" s="8">
        <f>(1069600+184000)/2740</f>
        <v>457.51824817518246</v>
      </c>
      <c r="E13" s="8">
        <f t="shared" si="1"/>
        <v>829.4890510948906</v>
      </c>
    </row>
    <row r="14" spans="1:5" ht="12.75">
      <c r="A14" s="5">
        <f t="shared" si="0"/>
        <v>1999</v>
      </c>
      <c r="B14" s="8">
        <f>1124200/3942.5</f>
        <v>285.14901712111606</v>
      </c>
      <c r="C14" s="8">
        <f>154000000/3942500</f>
        <v>39.061509194673434</v>
      </c>
      <c r="D14" s="8">
        <f>(1338200+232200)/3942.5</f>
        <v>398.32593532022827</v>
      </c>
      <c r="E14" s="8">
        <f t="shared" si="1"/>
        <v>722.5364616360177</v>
      </c>
    </row>
    <row r="15" spans="1:5" ht="12.75">
      <c r="A15" s="5">
        <f t="shared" si="0"/>
        <v>2000</v>
      </c>
      <c r="B15" s="8">
        <f>1220300/5266.1</f>
        <v>231.72746434742976</v>
      </c>
      <c r="C15" s="8">
        <f>167700000/5266100</f>
        <v>31.845198534019485</v>
      </c>
      <c r="D15" s="8">
        <f>(1452300+256700)/5266.1</f>
        <v>324.52858851901783</v>
      </c>
      <c r="E15" s="8">
        <f t="shared" si="1"/>
        <v>588.101251400467</v>
      </c>
    </row>
    <row r="16" spans="1:5" ht="12.75">
      <c r="A16" s="5">
        <f t="shared" si="0"/>
        <v>2001</v>
      </c>
      <c r="B16" s="8">
        <f>1263200/6811.7</f>
        <v>185.44563031255046</v>
      </c>
      <c r="C16" s="8">
        <f>170600000/6811700</f>
        <v>25.04514291586535</v>
      </c>
      <c r="D16" s="8">
        <f>(1503400+270900)/6811.7</f>
        <v>260.478294698827</v>
      </c>
      <c r="E16" s="8">
        <f t="shared" si="1"/>
        <v>470.9690679272428</v>
      </c>
    </row>
    <row r="17" spans="1:5" ht="12.75">
      <c r="A17" s="5">
        <f t="shared" si="0"/>
        <v>2002</v>
      </c>
      <c r="B17" s="8"/>
      <c r="C17" s="8"/>
      <c r="D17" s="8"/>
      <c r="E17" s="8"/>
    </row>
    <row r="18" spans="1:5" ht="12.75">
      <c r="A18" s="5">
        <f t="shared" si="0"/>
        <v>2003</v>
      </c>
      <c r="B18" s="8"/>
      <c r="C18" s="8"/>
      <c r="D18" s="8"/>
      <c r="E18" s="8"/>
    </row>
    <row r="19" spans="1:5" ht="12.75">
      <c r="A19" s="5">
        <f t="shared" si="0"/>
        <v>2004</v>
      </c>
      <c r="B19" s="8"/>
      <c r="C19" s="8"/>
      <c r="D19" s="8"/>
      <c r="E19" s="8"/>
    </row>
    <row r="20" spans="1:5" ht="12.75">
      <c r="A20" s="5">
        <f t="shared" si="0"/>
        <v>2005</v>
      </c>
      <c r="B20" s="8"/>
      <c r="C20" s="8"/>
      <c r="D20" s="8"/>
      <c r="E20" s="8"/>
    </row>
    <row r="21" spans="1:5" ht="12.75">
      <c r="A21" s="5">
        <f t="shared" si="0"/>
        <v>2006</v>
      </c>
      <c r="B21" s="8"/>
      <c r="C21" s="8"/>
      <c r="D21" s="8"/>
      <c r="E21" s="8"/>
    </row>
    <row r="22" spans="1:5" ht="12.75">
      <c r="A22" s="5">
        <f t="shared" si="0"/>
        <v>2007</v>
      </c>
      <c r="B22" s="8"/>
      <c r="C22" s="8"/>
      <c r="D22" s="8"/>
      <c r="E22" s="8"/>
    </row>
    <row r="23" spans="1:5" ht="12.75">
      <c r="A23" s="2"/>
      <c r="B23" s="2"/>
      <c r="C23" s="2"/>
      <c r="D23" s="2"/>
      <c r="E23" s="2"/>
    </row>
    <row r="24" spans="1:5" ht="12.75">
      <c r="A24" s="2" t="s">
        <v>22</v>
      </c>
      <c r="B24" s="2"/>
      <c r="C24" s="2"/>
      <c r="D24" s="2"/>
      <c r="E24" s="2"/>
    </row>
    <row r="25" spans="1:5" ht="12.75">
      <c r="A25" s="3" t="s">
        <v>4</v>
      </c>
      <c r="B25" s="3" t="s">
        <v>39</v>
      </c>
      <c r="C25" s="3" t="s">
        <v>1</v>
      </c>
      <c r="D25" s="3" t="s">
        <v>2</v>
      </c>
      <c r="E25" s="3" t="s">
        <v>12</v>
      </c>
    </row>
    <row r="26" spans="1:5" ht="12.75">
      <c r="A26" s="4" t="s">
        <v>5</v>
      </c>
      <c r="B26" s="4" t="s">
        <v>19</v>
      </c>
      <c r="C26" s="4" t="s">
        <v>20</v>
      </c>
      <c r="D26" s="4" t="s">
        <v>20</v>
      </c>
      <c r="E26" s="4" t="s">
        <v>20</v>
      </c>
    </row>
    <row r="27" spans="1:5" ht="12.75">
      <c r="A27" s="5">
        <v>1992</v>
      </c>
      <c r="B27" s="12"/>
      <c r="C27" s="12"/>
      <c r="D27" s="12"/>
      <c r="E27" s="12"/>
    </row>
    <row r="28" spans="1:5" ht="12.75">
      <c r="A28" s="5">
        <f>A27+1</f>
        <v>1993</v>
      </c>
      <c r="B28" s="12">
        <f>9603/0.85</f>
        <v>11297.64705882353</v>
      </c>
      <c r="C28" s="12"/>
      <c r="D28" s="12"/>
      <c r="E28" s="12"/>
    </row>
    <row r="29" spans="1:5" ht="12.75">
      <c r="A29" s="5">
        <f aca="true" t="shared" si="2" ref="A29:A42">A28+1</f>
        <v>1994</v>
      </c>
      <c r="B29" s="12">
        <f>11214/0.85</f>
        <v>13192.94117647059</v>
      </c>
      <c r="C29" s="12">
        <f>B9*B29/1000</f>
        <v>4383.480685417287</v>
      </c>
      <c r="D29" s="12">
        <f>C9*B29/1000</f>
        <v>582.8450772854011</v>
      </c>
      <c r="E29" s="12">
        <f>D9*B29/1000</f>
        <v>6459.866273246528</v>
      </c>
    </row>
    <row r="30" spans="1:5" ht="12.75">
      <c r="A30" s="5">
        <f t="shared" si="2"/>
        <v>1995</v>
      </c>
      <c r="B30" s="12">
        <f>12903/0.85</f>
        <v>15180</v>
      </c>
      <c r="C30" s="12">
        <f aca="true" t="shared" si="3" ref="C30:C35">B10*B30/1000</f>
        <v>5300.906676783004</v>
      </c>
      <c r="D30" s="12">
        <f aca="true" t="shared" si="4" ref="D30:D35">C10*B30/1000</f>
        <v>714.0819423368741</v>
      </c>
      <c r="E30" s="12">
        <f aca="true" t="shared" si="5" ref="E30:E35">D10*B30/1000</f>
        <v>7440.273141122913</v>
      </c>
    </row>
    <row r="31" spans="1:5" ht="12.75">
      <c r="A31" s="5">
        <f t="shared" si="2"/>
        <v>1996</v>
      </c>
      <c r="B31" s="12">
        <f>14666/0.85</f>
        <v>17254.117647058825</v>
      </c>
      <c r="C31" s="12">
        <f t="shared" si="3"/>
        <v>4876.015547292045</v>
      </c>
      <c r="D31" s="12">
        <f t="shared" si="4"/>
        <v>668.8820938066858</v>
      </c>
      <c r="E31" s="12">
        <f t="shared" si="5"/>
        <v>6890.24565949728</v>
      </c>
    </row>
    <row r="32" spans="1:5" ht="12.75">
      <c r="A32" s="5">
        <f t="shared" si="2"/>
        <v>1997</v>
      </c>
      <c r="B32" s="12">
        <f>16500/0.85</f>
        <v>19411.764705882353</v>
      </c>
      <c r="C32" s="12">
        <f t="shared" si="3"/>
        <v>6691.123149767521</v>
      </c>
      <c r="D32" s="12">
        <f t="shared" si="4"/>
        <v>892.6971803950007</v>
      </c>
      <c r="E32" s="12">
        <f t="shared" si="5"/>
        <v>9323.465426779849</v>
      </c>
    </row>
    <row r="33" spans="1:5" ht="12.75">
      <c r="A33" s="5">
        <f t="shared" si="2"/>
        <v>1998</v>
      </c>
      <c r="B33" s="12">
        <f>18401/0.85</f>
        <v>21648.235294117647</v>
      </c>
      <c r="C33" s="12">
        <f t="shared" si="3"/>
        <v>7101.25324173465</v>
      </c>
      <c r="D33" s="12">
        <f t="shared" si="4"/>
        <v>951.2582224130527</v>
      </c>
      <c r="E33" s="12">
        <f t="shared" si="5"/>
        <v>9904.462687848862</v>
      </c>
    </row>
    <row r="34" spans="1:5" ht="12.75">
      <c r="A34" s="5">
        <f t="shared" si="2"/>
        <v>1999</v>
      </c>
      <c r="B34" s="12">
        <f>20368/0.85</f>
        <v>23962.352941176472</v>
      </c>
      <c r="C34" s="12">
        <f t="shared" si="3"/>
        <v>6832.8413890857555</v>
      </c>
      <c r="D34" s="12">
        <f t="shared" si="4"/>
        <v>936.0056697377747</v>
      </c>
      <c r="E34" s="12">
        <f t="shared" si="5"/>
        <v>9544.826647767542</v>
      </c>
    </row>
    <row r="35" spans="1:5" ht="12.75">
      <c r="A35" s="5">
        <f t="shared" si="2"/>
        <v>2000</v>
      </c>
      <c r="B35" s="12">
        <f>22397/0.85</f>
        <v>26349.411764705885</v>
      </c>
      <c r="C35" s="12">
        <f t="shared" si="3"/>
        <v>6105.882375281629</v>
      </c>
      <c r="D35" s="12">
        <f t="shared" si="4"/>
        <v>839.1022489016875</v>
      </c>
      <c r="E35" s="12">
        <f t="shared" si="5"/>
        <v>8551.137408306404</v>
      </c>
    </row>
    <row r="36" spans="1:5" ht="12.75">
      <c r="A36" s="5">
        <f t="shared" si="2"/>
        <v>2001</v>
      </c>
      <c r="B36" s="13">
        <f>24488/0.85</f>
        <v>28809.411764705885</v>
      </c>
      <c r="C36" s="12">
        <f>$B$16*B36/1000</f>
        <v>5342.579523639689</v>
      </c>
      <c r="D36" s="12">
        <f>$C$16*B36/1000</f>
        <v>721.5358349690714</v>
      </c>
      <c r="E36" s="12">
        <f>$D$16*B36/1000</f>
        <v>7504.226447746913</v>
      </c>
    </row>
    <row r="37" spans="1:5" ht="12.75">
      <c r="A37" s="5">
        <f t="shared" si="2"/>
        <v>2002</v>
      </c>
      <c r="B37" s="12">
        <f>26637/0.85</f>
        <v>31337.64705882353</v>
      </c>
      <c r="C37" s="14">
        <f aca="true" t="shared" si="6" ref="C37:C42">$B$16*B37/1000</f>
        <v>5811.4297113357725</v>
      </c>
      <c r="D37" s="14">
        <f aca="true" t="shared" si="7" ref="D37:D42">$C$16*B37/1000</f>
        <v>784.8558492351827</v>
      </c>
      <c r="E37" s="14">
        <f aca="true" t="shared" si="8" ref="E37:E42">$D$16*B37/1000</f>
        <v>8162.7768657560655</v>
      </c>
    </row>
    <row r="38" spans="1:5" ht="12.75">
      <c r="A38" s="5">
        <f t="shared" si="2"/>
        <v>2003</v>
      </c>
      <c r="B38" s="12">
        <f>28843/0.85</f>
        <v>33932.94117647059</v>
      </c>
      <c r="C38" s="14">
        <f t="shared" si="6"/>
        <v>6292.715664829286</v>
      </c>
      <c r="D38" s="14">
        <f t="shared" si="7"/>
        <v>849.8553613203579</v>
      </c>
      <c r="E38" s="14">
        <f t="shared" si="8"/>
        <v>8838.794651762668</v>
      </c>
    </row>
    <row r="39" spans="1:5" ht="12.75">
      <c r="A39" s="5">
        <f t="shared" si="2"/>
        <v>2004</v>
      </c>
      <c r="B39" s="12">
        <f>31105/0.85</f>
        <v>36594.117647058825</v>
      </c>
      <c r="C39" s="14">
        <f t="shared" si="6"/>
        <v>6786.21921279045</v>
      </c>
      <c r="D39" s="14">
        <f t="shared" si="7"/>
        <v>916.5049063505784</v>
      </c>
      <c r="E39" s="14">
        <f t="shared" si="8"/>
        <v>9531.973360714135</v>
      </c>
    </row>
    <row r="40" spans="1:5" ht="12.75">
      <c r="A40" s="5">
        <f t="shared" si="2"/>
        <v>2005</v>
      </c>
      <c r="B40" s="12">
        <f>33421/0.85</f>
        <v>39318.82352941176</v>
      </c>
      <c r="C40" s="14">
        <f t="shared" si="6"/>
        <v>7291.504012559704</v>
      </c>
      <c r="D40" s="14">
        <f t="shared" si="7"/>
        <v>984.7455545778067</v>
      </c>
      <c r="E40" s="14">
        <f t="shared" si="8"/>
        <v>10241.70010250529</v>
      </c>
    </row>
    <row r="41" spans="1:5" ht="12.75">
      <c r="A41" s="5">
        <f t="shared" si="2"/>
        <v>2006</v>
      </c>
      <c r="B41" s="12">
        <f>35789/0.85</f>
        <v>42104.705882352944</v>
      </c>
      <c r="C41" s="14">
        <f t="shared" si="6"/>
        <v>7808.133721477493</v>
      </c>
      <c r="D41" s="14">
        <f t="shared" si="7"/>
        <v>1054.5183762540057</v>
      </c>
      <c r="E41" s="14">
        <f t="shared" si="8"/>
        <v>10967.361987030967</v>
      </c>
    </row>
    <row r="42" spans="1:5" ht="12.75">
      <c r="A42" s="5">
        <f t="shared" si="2"/>
        <v>2007</v>
      </c>
      <c r="B42" s="12">
        <f>38209/0.85</f>
        <v>44951.76470588236</v>
      </c>
      <c r="C42" s="14">
        <f t="shared" si="6"/>
        <v>8336.108339543813</v>
      </c>
      <c r="D42" s="14">
        <f t="shared" si="7"/>
        <v>1125.8233713791756</v>
      </c>
      <c r="E42" s="14">
        <f t="shared" si="8"/>
        <v>11708.959014291157</v>
      </c>
    </row>
  </sheetData>
  <mergeCells count="2">
    <mergeCell ref="A2:E2"/>
    <mergeCell ref="A1:E1"/>
  </mergeCells>
  <printOptions horizontalCentered="1" verticalCentered="1"/>
  <pageMargins left="0.984251968503937" right="0.984251968503937" top="1.1811023622047245" bottom="1.1811023622047245" header="0.7086614173228347" footer="0.7086614173228347"/>
  <pageSetup fitToHeight="1" fitToWidth="1" horizontalDpi="300" verticalDpi="300" orientation="portrait" paperSize="9" r:id="rId1"/>
  <headerFooter alignWithMargins="0">
    <oddHeader>&amp;R&amp;"Arial,Grassetto"&amp;11ANNEX 8</oddHeader>
    <oddFooter>&amp;L&amp;8&amp;F/&amp;A&amp;R&amp;8&amp;D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Giovanni Repici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Repici</dc:creator>
  <cp:keywords/>
  <dc:description/>
  <cp:lastModifiedBy>Giovanni Repici</cp:lastModifiedBy>
  <cp:lastPrinted>2003-01-15T10:56:33Z</cp:lastPrinted>
  <dcterms:created xsi:type="dcterms:W3CDTF">2002-06-15T13:33:00Z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