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consumption" sheetId="1" r:id="rId1"/>
    <sheet name="grossprod" sheetId="2" r:id="rId2"/>
    <sheet name="netprod." sheetId="3" r:id="rId3"/>
    <sheet name="return" sheetId="4" r:id="rId4"/>
  </sheets>
  <definedNames>
    <definedName name="_xlnm.Print_Area" localSheetId="0">'consumption'!$A$1:$H$69</definedName>
    <definedName name="_xlnm.Print_Area" localSheetId="1">'grossprod'!$A$1:$G$37</definedName>
    <definedName name="_xlnm.Print_Area" localSheetId="2">'netprod.'!$A$1:$G$37</definedName>
    <definedName name="_xlnm.Print_Area" localSheetId="3">'return'!$A$1:$G$37</definedName>
  </definedNames>
  <calcPr fullCalcOnLoad="1"/>
</workbook>
</file>

<file path=xl/sharedStrings.xml><?xml version="1.0" encoding="utf-8"?>
<sst xmlns="http://schemas.openxmlformats.org/spreadsheetml/2006/main" count="99" uniqueCount="58">
  <si>
    <t>real</t>
  </si>
  <si>
    <t>Years</t>
  </si>
  <si>
    <t>Annual cost millions</t>
  </si>
  <si>
    <t>operation</t>
  </si>
  <si>
    <t>capital</t>
  </si>
  <si>
    <t>local</t>
  </si>
  <si>
    <t>internat</t>
  </si>
  <si>
    <t>total</t>
  </si>
  <si>
    <t>CASE STUDY: CHECK OF SHORT TERM STRATEGIES</t>
  </si>
  <si>
    <t>trunk</t>
  </si>
  <si>
    <t>reference</t>
  </si>
  <si>
    <t>CASE STUDY: TREND OF HISTORICAL CONSUMPTION</t>
  </si>
  <si>
    <t>Approaching trend by a mathematical model</t>
  </si>
  <si>
    <t>(1982 = 0)</t>
  </si>
  <si>
    <t>Local traffic in millions minutes</t>
  </si>
  <si>
    <t>Trunk traffic in millions minutes</t>
  </si>
  <si>
    <t>International traffic in millions minutes</t>
  </si>
  <si>
    <t>Revenue</t>
  </si>
  <si>
    <t>actual</t>
  </si>
  <si>
    <t>estimate</t>
  </si>
  <si>
    <t>per line</t>
  </si>
  <si>
    <t>Economical return over the study period</t>
  </si>
  <si>
    <t>Earnings</t>
  </si>
  <si>
    <t>Plant Value</t>
  </si>
  <si>
    <t>Rate of</t>
  </si>
  <si>
    <t>Return</t>
  </si>
  <si>
    <t>Capital cost</t>
  </si>
  <si>
    <t>Labour cost</t>
  </si>
  <si>
    <r>
      <t>10</t>
    </r>
    <r>
      <rPr>
        <b/>
        <vertAlign val="superscript"/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US$</t>
    </r>
  </si>
  <si>
    <t>Rate of economical return</t>
  </si>
  <si>
    <t>Cost function: average unit cost</t>
  </si>
  <si>
    <t>Unit cost of labour</t>
  </si>
  <si>
    <t>linesx103</t>
  </si>
  <si>
    <t>$/line</t>
  </si>
  <si>
    <t>Unit cost per line</t>
  </si>
  <si>
    <t>labour</t>
  </si>
  <si>
    <t>Revenue 106 US$</t>
  </si>
  <si>
    <t>Line productivity</t>
  </si>
  <si>
    <t>Labour productivity</t>
  </si>
  <si>
    <t>per empl</t>
  </si>
  <si>
    <t>wages</t>
  </si>
  <si>
    <r>
      <t>Available data of traffic 10</t>
    </r>
    <r>
      <rPr>
        <b/>
        <vertAlign val="superscript"/>
        <sz val="10"/>
        <rFont val="Times New Roman"/>
        <family val="1"/>
      </rPr>
      <t>6</t>
    </r>
  </si>
  <si>
    <r>
      <t>Estimate of total traffic 10</t>
    </r>
    <r>
      <rPr>
        <b/>
        <vertAlign val="superscript"/>
        <sz val="10"/>
        <rFont val="Times New Roman"/>
        <family val="1"/>
      </rPr>
      <t>6</t>
    </r>
  </si>
  <si>
    <t>Gross productivity: revenue per factor of production</t>
  </si>
  <si>
    <t>Annual</t>
  </si>
  <si>
    <t>expenses</t>
  </si>
  <si>
    <t>Comparison of unit price to unit costs</t>
  </si>
  <si>
    <t>min x 103</t>
  </si>
  <si>
    <t>revenue</t>
  </si>
  <si>
    <t>Traffic</t>
  </si>
  <si>
    <t>Ratio of price to cost</t>
  </si>
  <si>
    <t>ratios</t>
  </si>
  <si>
    <t>cost/min</t>
  </si>
  <si>
    <t>price/min</t>
  </si>
  <si>
    <t>to cost</t>
  </si>
  <si>
    <t>Net productivity of input factors</t>
  </si>
  <si>
    <t>Gross productivity of input factors</t>
  </si>
  <si>
    <t>Net productivity: revenue per factor of production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</si>
</sst>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0000000"/>
    <numFmt numFmtId="166" formatCode="0.00000"/>
    <numFmt numFmtId="167" formatCode="#,##0.0"/>
    <numFmt numFmtId="168" formatCode="0.000"/>
    <numFmt numFmtId="169" formatCode="0.000000"/>
  </numFmts>
  <fonts count="10">
    <font>
      <sz val="10"/>
      <name val="Arial"/>
      <family val="0"/>
    </font>
    <font>
      <b/>
      <sz val="10"/>
      <name val="Arial Black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2"/>
      <name val="Arial Black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0" fontId="2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2" fontId="2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consumption!$A$6:$A$18</c:f>
              <c:numCache/>
            </c:numRef>
          </c:xVal>
          <c:yVal>
            <c:numRef>
              <c:f>consumption!$B$6:$B$18</c:f>
              <c:numCache/>
            </c:numRef>
          </c:yVal>
          <c:smooth val="0"/>
        </c:ser>
        <c:axId val="9780634"/>
        <c:axId val="20916843"/>
      </c:scatterChart>
      <c:valAx>
        <c:axId val="97806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16843"/>
        <c:crosses val="autoZero"/>
        <c:crossBetween val="midCat"/>
        <c:dispUnits/>
      </c:valAx>
      <c:valAx>
        <c:axId val="20916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806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consumption!$A$6:$A$18</c:f>
              <c:numCache/>
            </c:numRef>
          </c:xVal>
          <c:yVal>
            <c:numRef>
              <c:f>consumption!$C$6:$C$18</c:f>
              <c:numCache/>
            </c:numRef>
          </c:yVal>
          <c:smooth val="0"/>
        </c:ser>
        <c:axId val="54033860"/>
        <c:axId val="16542693"/>
      </c:scatterChart>
      <c:valAx>
        <c:axId val="540338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42693"/>
        <c:crosses val="autoZero"/>
        <c:crossBetween val="midCat"/>
        <c:dispUnits/>
      </c:valAx>
      <c:valAx>
        <c:axId val="16542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33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consumption!$A$6:$A$18</c:f>
              <c:numCache/>
            </c:numRef>
          </c:xVal>
          <c:yVal>
            <c:numRef>
              <c:f>consumption!$D$6:$D$18</c:f>
              <c:numCache/>
            </c:numRef>
          </c:yVal>
          <c:smooth val="0"/>
        </c:ser>
        <c:axId val="14666510"/>
        <c:axId val="64889727"/>
      </c:scatterChart>
      <c:valAx>
        <c:axId val="146665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89727"/>
        <c:crosses val="autoZero"/>
        <c:crossBetween val="midCat"/>
        <c:dispUnits/>
      </c:valAx>
      <c:valAx>
        <c:axId val="64889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665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28575</xdr:rowOff>
    </xdr:from>
    <xdr:to>
      <xdr:col>8</xdr:col>
      <xdr:colOff>9525</xdr:colOff>
      <xdr:row>35</xdr:row>
      <xdr:rowOff>38100</xdr:rowOff>
    </xdr:to>
    <xdr:graphicFrame>
      <xdr:nvGraphicFramePr>
        <xdr:cNvPr id="1" name="Chart 4"/>
        <xdr:cNvGraphicFramePr/>
      </xdr:nvGraphicFramePr>
      <xdr:xfrm>
        <a:off x="28575" y="3362325"/>
        <a:ext cx="48577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37</xdr:row>
      <xdr:rowOff>0</xdr:rowOff>
    </xdr:from>
    <xdr:to>
      <xdr:col>7</xdr:col>
      <xdr:colOff>600075</xdr:colOff>
      <xdr:row>52</xdr:row>
      <xdr:rowOff>0</xdr:rowOff>
    </xdr:to>
    <xdr:graphicFrame>
      <xdr:nvGraphicFramePr>
        <xdr:cNvPr id="2" name="Chart 5"/>
        <xdr:cNvGraphicFramePr/>
      </xdr:nvGraphicFramePr>
      <xdr:xfrm>
        <a:off x="28575" y="6086475"/>
        <a:ext cx="48387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54</xdr:row>
      <xdr:rowOff>9525</xdr:rowOff>
    </xdr:from>
    <xdr:to>
      <xdr:col>8</xdr:col>
      <xdr:colOff>0</xdr:colOff>
      <xdr:row>69</xdr:row>
      <xdr:rowOff>9525</xdr:rowOff>
    </xdr:to>
    <xdr:graphicFrame>
      <xdr:nvGraphicFramePr>
        <xdr:cNvPr id="3" name="Chart 6"/>
        <xdr:cNvGraphicFramePr/>
      </xdr:nvGraphicFramePr>
      <xdr:xfrm>
        <a:off x="38100" y="8848725"/>
        <a:ext cx="48387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="75" zoomScaleNormal="75" workbookViewId="0" topLeftCell="A1">
      <selection activeCell="A1" sqref="A1:H1"/>
    </sheetView>
  </sheetViews>
  <sheetFormatPr defaultColWidth="9.140625" defaultRowHeight="12.75"/>
  <sheetData>
    <row r="1" spans="1:8" ht="15">
      <c r="A1" s="20" t="s">
        <v>11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12</v>
      </c>
      <c r="B2" s="20"/>
      <c r="C2" s="20"/>
      <c r="D2" s="20"/>
      <c r="E2" s="20"/>
      <c r="F2" s="20"/>
      <c r="G2" s="20"/>
      <c r="H2" s="20"/>
    </row>
    <row r="3" spans="1:8" ht="12.75">
      <c r="A3" s="11" t="s">
        <v>13</v>
      </c>
      <c r="B3" s="11"/>
      <c r="C3" s="11"/>
      <c r="D3" s="11"/>
      <c r="E3" s="11"/>
      <c r="F3" s="11"/>
      <c r="G3" s="11"/>
      <c r="H3" s="11"/>
    </row>
    <row r="4" spans="1:8" ht="15.75">
      <c r="A4" s="13" t="s">
        <v>1</v>
      </c>
      <c r="B4" s="21" t="s">
        <v>41</v>
      </c>
      <c r="C4" s="22"/>
      <c r="D4" s="23"/>
      <c r="E4" s="21" t="s">
        <v>42</v>
      </c>
      <c r="F4" s="22"/>
      <c r="G4" s="22"/>
      <c r="H4" s="23"/>
    </row>
    <row r="5" spans="1:8" ht="12.75">
      <c r="A5" s="14" t="s">
        <v>10</v>
      </c>
      <c r="B5" s="15" t="s">
        <v>5</v>
      </c>
      <c r="C5" s="15" t="s">
        <v>9</v>
      </c>
      <c r="D5" s="15" t="s">
        <v>6</v>
      </c>
      <c r="E5" s="15" t="s">
        <v>5</v>
      </c>
      <c r="F5" s="15" t="s">
        <v>9</v>
      </c>
      <c r="G5" s="15" t="s">
        <v>6</v>
      </c>
      <c r="H5" s="15" t="s">
        <v>7</v>
      </c>
    </row>
    <row r="6" spans="1:8" ht="12.75">
      <c r="A6" s="1">
        <v>1</v>
      </c>
      <c r="B6" s="1"/>
      <c r="C6" s="10"/>
      <c r="D6" s="10">
        <v>250.3</v>
      </c>
      <c r="E6" s="3">
        <f>15.279*A6^2+383.05*A6+9512.9</f>
        <v>9911.229</v>
      </c>
      <c r="F6" s="3">
        <f>6.6512*A6^2+27.06*A6+1621.6</f>
        <v>1655.3111999999999</v>
      </c>
      <c r="G6" s="3">
        <f>3.204*A6^2+6.1393*A6+227.63</f>
        <v>236.9733</v>
      </c>
      <c r="H6" s="3">
        <f>SUM(E6:G6)</f>
        <v>11803.5135</v>
      </c>
    </row>
    <row r="7" spans="1:8" ht="12.75">
      <c r="A7" s="1">
        <f>A6+1</f>
        <v>2</v>
      </c>
      <c r="B7" s="1"/>
      <c r="C7" s="10"/>
      <c r="D7" s="3"/>
      <c r="E7" s="3">
        <f aca="true" t="shared" si="0" ref="E7:E18">15.279*A7^2+383.05*A7+9512.9</f>
        <v>10340.116</v>
      </c>
      <c r="F7" s="3">
        <f aca="true" t="shared" si="1" ref="F7:F18">6.6512*A7^2+27.06*A7+1621.6</f>
        <v>1702.3247999999999</v>
      </c>
      <c r="G7" s="3">
        <f aca="true" t="shared" si="2" ref="G7:G18">3.204*A7^2+6.1393*A7+227.63</f>
        <v>252.7246</v>
      </c>
      <c r="H7" s="3">
        <f aca="true" t="shared" si="3" ref="H7:H18">SUM(E7:G7)</f>
        <v>12295.1654</v>
      </c>
    </row>
    <row r="8" spans="1:9" ht="12.75">
      <c r="A8" s="1">
        <f aca="true" t="shared" si="4" ref="A8:A18">A7+1</f>
        <v>3</v>
      </c>
      <c r="B8" s="10">
        <f>2404.593*4.5</f>
        <v>10820.6685</v>
      </c>
      <c r="C8" s="10"/>
      <c r="D8" s="3"/>
      <c r="E8" s="3">
        <f t="shared" si="0"/>
        <v>10799.561</v>
      </c>
      <c r="F8" s="3">
        <f t="shared" si="1"/>
        <v>1762.6408</v>
      </c>
      <c r="G8" s="3">
        <f t="shared" si="2"/>
        <v>274.8839</v>
      </c>
      <c r="H8" s="3">
        <f t="shared" si="3"/>
        <v>12837.0857</v>
      </c>
      <c r="I8" s="9"/>
    </row>
    <row r="9" spans="1:8" ht="12.75">
      <c r="A9" s="1">
        <f t="shared" si="4"/>
        <v>4</v>
      </c>
      <c r="B9" s="10">
        <f>2483.046*4.55</f>
        <v>11297.859299999998</v>
      </c>
      <c r="C9" s="10">
        <v>1807.019</v>
      </c>
      <c r="D9" s="1">
        <v>306</v>
      </c>
      <c r="E9" s="3">
        <f t="shared" si="0"/>
        <v>11289.564</v>
      </c>
      <c r="F9" s="3">
        <f t="shared" si="1"/>
        <v>1836.2592</v>
      </c>
      <c r="G9" s="3">
        <f t="shared" si="2"/>
        <v>303.4512</v>
      </c>
      <c r="H9" s="3">
        <f t="shared" si="3"/>
        <v>13429.2744</v>
      </c>
    </row>
    <row r="10" spans="1:8" ht="12.75">
      <c r="A10" s="1">
        <f t="shared" si="4"/>
        <v>5</v>
      </c>
      <c r="B10" s="10">
        <f>2560.838*4.61</f>
        <v>11805.463180000002</v>
      </c>
      <c r="C10" s="10">
        <f>3972/2</f>
        <v>1986</v>
      </c>
      <c r="D10" s="1">
        <v>321</v>
      </c>
      <c r="E10" s="3">
        <f t="shared" si="0"/>
        <v>11810.125</v>
      </c>
      <c r="F10" s="3">
        <f t="shared" si="1"/>
        <v>1923.1799999999998</v>
      </c>
      <c r="G10" s="3">
        <f t="shared" si="2"/>
        <v>338.42650000000003</v>
      </c>
      <c r="H10" s="3">
        <f t="shared" si="3"/>
        <v>14071.7315</v>
      </c>
    </row>
    <row r="11" spans="1:8" ht="12.75">
      <c r="A11" s="1">
        <f t="shared" si="4"/>
        <v>6</v>
      </c>
      <c r="B11" s="10">
        <f>2644.163*4.66</f>
        <v>12321.79958</v>
      </c>
      <c r="C11" s="10">
        <f>4097/2</f>
        <v>2048.5</v>
      </c>
      <c r="D11" s="1">
        <v>367</v>
      </c>
      <c r="E11" s="3">
        <f t="shared" si="0"/>
        <v>12361.243999999999</v>
      </c>
      <c r="F11" s="3">
        <f t="shared" si="1"/>
        <v>2023.4032</v>
      </c>
      <c r="G11" s="3">
        <f t="shared" si="2"/>
        <v>379.8098</v>
      </c>
      <c r="H11" s="3">
        <f t="shared" si="3"/>
        <v>14764.456999999999</v>
      </c>
    </row>
    <row r="12" spans="1:8" ht="12.75">
      <c r="A12" s="1">
        <f t="shared" si="4"/>
        <v>7</v>
      </c>
      <c r="B12" s="10">
        <f>2733.576*4.72</f>
        <v>12902.47872</v>
      </c>
      <c r="C12" s="10">
        <v>2056.896</v>
      </c>
      <c r="D12" s="1">
        <v>402</v>
      </c>
      <c r="E12" s="3">
        <f t="shared" si="0"/>
        <v>12942.920999999998</v>
      </c>
      <c r="F12" s="3">
        <f t="shared" si="1"/>
        <v>2136.9287999999997</v>
      </c>
      <c r="G12" s="3">
        <f t="shared" si="2"/>
        <v>427.6011</v>
      </c>
      <c r="H12" s="3">
        <f t="shared" si="3"/>
        <v>15507.450899999998</v>
      </c>
    </row>
    <row r="13" spans="1:8" ht="12.75">
      <c r="A13" s="1">
        <f t="shared" si="4"/>
        <v>8</v>
      </c>
      <c r="B13" s="10">
        <f>2839.604*4.77</f>
        <v>13544.911079999998</v>
      </c>
      <c r="C13" s="10">
        <f>4434/2</f>
        <v>2217</v>
      </c>
      <c r="D13" s="1">
        <v>476</v>
      </c>
      <c r="E13" s="3">
        <f t="shared" si="0"/>
        <v>13555.155999999999</v>
      </c>
      <c r="F13" s="3">
        <f t="shared" si="1"/>
        <v>2263.7568</v>
      </c>
      <c r="G13" s="3">
        <f t="shared" si="2"/>
        <v>481.8004</v>
      </c>
      <c r="H13" s="3">
        <f t="shared" si="3"/>
        <v>16300.713199999998</v>
      </c>
    </row>
    <row r="14" spans="1:8" ht="12.75">
      <c r="A14" s="1">
        <f t="shared" si="4"/>
        <v>9</v>
      </c>
      <c r="B14" s="10">
        <f>2946.223*4.83</f>
        <v>14230.25709</v>
      </c>
      <c r="C14" s="10">
        <f>4948/2</f>
        <v>2474</v>
      </c>
      <c r="D14" s="1">
        <v>559</v>
      </c>
      <c r="E14" s="3">
        <f t="shared" si="0"/>
        <v>14197.949</v>
      </c>
      <c r="F14" s="3">
        <f t="shared" si="1"/>
        <v>2403.8872</v>
      </c>
      <c r="G14" s="3">
        <f t="shared" si="2"/>
        <v>542.4077</v>
      </c>
      <c r="H14" s="3">
        <f t="shared" si="3"/>
        <v>17144.2439</v>
      </c>
    </row>
    <row r="15" spans="1:8" ht="12.75">
      <c r="A15" s="1">
        <f t="shared" si="4"/>
        <v>10</v>
      </c>
      <c r="B15" s="10">
        <f>3053.978*4.89</f>
        <v>14933.95242</v>
      </c>
      <c r="C15" s="10">
        <f>5132/2</f>
        <v>2566</v>
      </c>
      <c r="D15" s="1">
        <v>642</v>
      </c>
      <c r="E15" s="3">
        <f t="shared" si="0"/>
        <v>14871.3</v>
      </c>
      <c r="F15" s="3">
        <f t="shared" si="1"/>
        <v>2557.3199999999997</v>
      </c>
      <c r="G15" s="3">
        <f t="shared" si="2"/>
        <v>609.423</v>
      </c>
      <c r="H15" s="3">
        <f t="shared" si="3"/>
        <v>18038.042999999998</v>
      </c>
    </row>
    <row r="16" spans="1:8" ht="12.75">
      <c r="A16" s="1">
        <f t="shared" si="4"/>
        <v>11</v>
      </c>
      <c r="B16" s="10">
        <f>3153.099*4.95</f>
        <v>15607.84005</v>
      </c>
      <c r="C16" s="10">
        <f>5426/2</f>
        <v>2713</v>
      </c>
      <c r="D16" s="1">
        <v>713</v>
      </c>
      <c r="E16" s="3">
        <f t="shared" si="0"/>
        <v>15575.208999999999</v>
      </c>
      <c r="F16" s="3">
        <f t="shared" si="1"/>
        <v>2724.0552</v>
      </c>
      <c r="G16" s="3">
        <f t="shared" si="2"/>
        <v>682.8463</v>
      </c>
      <c r="H16" s="3">
        <f t="shared" si="3"/>
        <v>18982.1105</v>
      </c>
    </row>
    <row r="17" spans="1:8" ht="12.75">
      <c r="A17" s="1">
        <f t="shared" si="4"/>
        <v>12</v>
      </c>
      <c r="B17" s="10">
        <f>3242.961*5.01</f>
        <v>16247.234609999998</v>
      </c>
      <c r="C17" s="10">
        <f>5838/2</f>
        <v>2919</v>
      </c>
      <c r="D17" s="1">
        <v>767</v>
      </c>
      <c r="E17" s="3">
        <f t="shared" si="0"/>
        <v>16309.676</v>
      </c>
      <c r="F17" s="3">
        <f t="shared" si="1"/>
        <v>2904.0928</v>
      </c>
      <c r="G17" s="3">
        <f t="shared" si="2"/>
        <v>762.6776000000001</v>
      </c>
      <c r="H17" s="3">
        <f t="shared" si="3"/>
        <v>19976.446399999997</v>
      </c>
    </row>
    <row r="18" spans="1:8" ht="12.75">
      <c r="A18" s="1">
        <f t="shared" si="4"/>
        <v>13</v>
      </c>
      <c r="B18" s="1"/>
      <c r="C18" s="10">
        <f>6166/2</f>
        <v>3083</v>
      </c>
      <c r="D18" s="1">
        <v>811</v>
      </c>
      <c r="E18" s="3">
        <f t="shared" si="0"/>
        <v>17074.701</v>
      </c>
      <c r="F18" s="3">
        <f t="shared" si="1"/>
        <v>3097.4327999999996</v>
      </c>
      <c r="G18" s="3">
        <f t="shared" si="2"/>
        <v>848.9169</v>
      </c>
      <c r="H18" s="3">
        <f t="shared" si="3"/>
        <v>21021.0507</v>
      </c>
    </row>
    <row r="19" spans="1:8" ht="12.75">
      <c r="A19" s="6"/>
      <c r="B19" s="6"/>
      <c r="C19" s="6"/>
      <c r="D19" s="6"/>
      <c r="E19" s="7"/>
      <c r="F19" s="7"/>
      <c r="G19" s="7"/>
      <c r="H19" s="7"/>
    </row>
    <row r="20" spans="1:4" ht="12.75">
      <c r="A20" s="8" t="s">
        <v>14</v>
      </c>
      <c r="C20" s="4"/>
      <c r="D20" s="4"/>
    </row>
    <row r="21" spans="3:4" ht="12.75">
      <c r="C21" s="4"/>
      <c r="D21" s="4"/>
    </row>
    <row r="22" spans="3:4" ht="12.75">
      <c r="C22" s="4"/>
      <c r="D22" s="4"/>
    </row>
    <row r="37" ht="12.75">
      <c r="A37" s="8" t="s">
        <v>15</v>
      </c>
    </row>
    <row r="54" ht="12.75">
      <c r="A54" s="8" t="s">
        <v>16</v>
      </c>
    </row>
  </sheetData>
  <mergeCells count="4">
    <mergeCell ref="A1:H1"/>
    <mergeCell ref="A2:H2"/>
    <mergeCell ref="B4:D4"/>
    <mergeCell ref="E4:H4"/>
  </mergeCells>
  <printOptions horizontalCentered="1" verticalCentered="1"/>
  <pageMargins left="1.1811023622047245" right="1.1811023622047245" top="1.1811023622047245" bottom="1.1811023622047245" header="0.7086614173228347" footer="0.7086614173228347"/>
  <pageSetup fitToHeight="1" fitToWidth="1" horizontalDpi="300" verticalDpi="300" orientation="portrait" paperSize="9" scale="77" r:id="rId2"/>
  <headerFooter alignWithMargins="0">
    <oddHeader>&amp;R&amp;"Arial,Grassetto"&amp;12ANNEX 3</oddHeader>
    <oddFooter>&amp;L&amp;8&amp;F/&amp;A&amp;R&amp;8&amp;D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75" zoomScaleNormal="75" workbookViewId="0" topLeftCell="A1">
      <selection activeCell="A1" sqref="A1:G1"/>
    </sheetView>
  </sheetViews>
  <sheetFormatPr defaultColWidth="9.140625" defaultRowHeight="12.75"/>
  <cols>
    <col min="2" max="6" width="10.7109375" style="0" customWidth="1"/>
  </cols>
  <sheetData>
    <row r="1" spans="1:7" ht="15">
      <c r="A1" s="20" t="s">
        <v>8</v>
      </c>
      <c r="B1" s="20"/>
      <c r="C1" s="20"/>
      <c r="D1" s="20"/>
      <c r="E1" s="20"/>
      <c r="F1" s="20"/>
      <c r="G1" s="20"/>
    </row>
    <row r="2" spans="1:7" ht="15">
      <c r="A2" s="20" t="s">
        <v>56</v>
      </c>
      <c r="B2" s="20"/>
      <c r="C2" s="20"/>
      <c r="D2" s="20"/>
      <c r="E2" s="20"/>
      <c r="F2" s="20"/>
      <c r="G2" s="20"/>
    </row>
    <row r="4" ht="12.75">
      <c r="A4" s="19" t="s">
        <v>30</v>
      </c>
    </row>
    <row r="5" spans="1:7" ht="12.75">
      <c r="A5" s="13" t="s">
        <v>1</v>
      </c>
      <c r="B5" s="24" t="s">
        <v>2</v>
      </c>
      <c r="C5" s="24"/>
      <c r="D5" s="24" t="s">
        <v>34</v>
      </c>
      <c r="E5" s="24"/>
      <c r="F5" s="24" t="s">
        <v>31</v>
      </c>
      <c r="G5" s="24"/>
    </row>
    <row r="6" spans="1:7" ht="12.75">
      <c r="A6" s="14" t="s">
        <v>0</v>
      </c>
      <c r="B6" s="15" t="s">
        <v>3</v>
      </c>
      <c r="C6" s="15" t="s">
        <v>4</v>
      </c>
      <c r="D6" s="15" t="s">
        <v>32</v>
      </c>
      <c r="E6" s="15" t="s">
        <v>33</v>
      </c>
      <c r="F6" s="15" t="s">
        <v>35</v>
      </c>
      <c r="G6" s="15" t="s">
        <v>40</v>
      </c>
    </row>
    <row r="7" spans="1:10" ht="12.75">
      <c r="A7" s="1">
        <v>1983</v>
      </c>
      <c r="B7" s="3">
        <f>0.6978*(A7-1982)^2+63.292*(A7-1982)+229.64</f>
        <v>293.6298</v>
      </c>
      <c r="C7" s="3">
        <f>1.2742*(A7-1982)^2+106.44*(A7-1982)+152.27</f>
        <v>259.9842</v>
      </c>
      <c r="D7" s="3">
        <v>2552</v>
      </c>
      <c r="E7" s="10">
        <f aca="true" t="shared" si="0" ref="E7:E19">C7*1000/D7</f>
        <v>101.87468652037617</v>
      </c>
      <c r="F7" s="10">
        <v>18084</v>
      </c>
      <c r="G7" s="3">
        <f aca="true" t="shared" si="1" ref="G7:G19">B7*1000000/F7</f>
        <v>16236.99402786994</v>
      </c>
      <c r="J7" s="5"/>
    </row>
    <row r="8" spans="1:10" ht="12.75">
      <c r="A8" s="1">
        <f aca="true" t="shared" si="2" ref="A8:A19">A7+1</f>
        <v>1984</v>
      </c>
      <c r="B8" s="3">
        <f aca="true" t="shared" si="3" ref="B8:B19">0.6978*(A8-1982)^2+63.292*(A8-1982)+229.64</f>
        <v>359.0152</v>
      </c>
      <c r="C8" s="3">
        <f aca="true" t="shared" si="4" ref="C8:C19">1.2742*(A8-1982)^2+106.44*(A8-1982)+152.27</f>
        <v>370.2468</v>
      </c>
      <c r="D8" s="3">
        <v>2636</v>
      </c>
      <c r="E8" s="10">
        <f t="shared" si="0"/>
        <v>140.4578148710167</v>
      </c>
      <c r="F8" s="10">
        <v>18110</v>
      </c>
      <c r="G8" s="3">
        <f t="shared" si="1"/>
        <v>19824.141358365545</v>
      </c>
      <c r="I8" s="4"/>
      <c r="J8" s="5"/>
    </row>
    <row r="9" spans="1:10" ht="12.75">
      <c r="A9" s="1">
        <f t="shared" si="2"/>
        <v>1985</v>
      </c>
      <c r="B9" s="3">
        <f t="shared" si="3"/>
        <v>425.7962</v>
      </c>
      <c r="C9" s="3">
        <f t="shared" si="4"/>
        <v>483.05780000000004</v>
      </c>
      <c r="D9" s="3">
        <v>2723</v>
      </c>
      <c r="E9" s="10">
        <f t="shared" si="0"/>
        <v>177.39911861917005</v>
      </c>
      <c r="F9" s="10">
        <v>18137</v>
      </c>
      <c r="G9" s="3">
        <f t="shared" si="1"/>
        <v>23476.6609692893</v>
      </c>
      <c r="I9" s="4"/>
      <c r="J9" s="5"/>
    </row>
    <row r="10" spans="1:10" ht="12.75">
      <c r="A10" s="1">
        <f t="shared" si="2"/>
        <v>1986</v>
      </c>
      <c r="B10" s="3">
        <f t="shared" si="3"/>
        <v>493.9728</v>
      </c>
      <c r="C10" s="3">
        <f t="shared" si="4"/>
        <v>598.4172</v>
      </c>
      <c r="D10" s="3">
        <v>2815</v>
      </c>
      <c r="E10" s="10">
        <f t="shared" si="0"/>
        <v>212.58159857904084</v>
      </c>
      <c r="F10" s="10">
        <v>18162</v>
      </c>
      <c r="G10" s="3">
        <f t="shared" si="1"/>
        <v>27198.149983481995</v>
      </c>
      <c r="I10" s="4"/>
      <c r="J10" s="5"/>
    </row>
    <row r="11" spans="1:10" ht="12.75">
      <c r="A11" s="1">
        <f t="shared" si="2"/>
        <v>1987</v>
      </c>
      <c r="B11" s="3">
        <f t="shared" si="3"/>
        <v>563.5450000000001</v>
      </c>
      <c r="C11" s="3">
        <f t="shared" si="4"/>
        <v>716.325</v>
      </c>
      <c r="D11" s="3">
        <v>2911</v>
      </c>
      <c r="E11" s="10">
        <f t="shared" si="0"/>
        <v>246.07523187907935</v>
      </c>
      <c r="F11" s="10">
        <v>18187</v>
      </c>
      <c r="G11" s="3">
        <f t="shared" si="1"/>
        <v>30986.14394897455</v>
      </c>
      <c r="I11" s="4"/>
      <c r="J11" s="5"/>
    </row>
    <row r="12" spans="1:10" ht="12.75">
      <c r="A12" s="1">
        <f t="shared" si="2"/>
        <v>1988</v>
      </c>
      <c r="B12" s="3">
        <f t="shared" si="3"/>
        <v>634.5128</v>
      </c>
      <c r="C12" s="3">
        <f t="shared" si="4"/>
        <v>836.7812</v>
      </c>
      <c r="D12" s="3">
        <v>3011</v>
      </c>
      <c r="E12" s="10">
        <f t="shared" si="0"/>
        <v>277.90807040850217</v>
      </c>
      <c r="F12" s="10">
        <v>18211</v>
      </c>
      <c r="G12" s="3">
        <f t="shared" si="1"/>
        <v>34842.282137169845</v>
      </c>
      <c r="I12" s="4"/>
      <c r="J12" s="5"/>
    </row>
    <row r="13" spans="1:10" ht="12.75">
      <c r="A13" s="1">
        <f t="shared" si="2"/>
        <v>1989</v>
      </c>
      <c r="B13" s="3">
        <f t="shared" si="3"/>
        <v>706.8761999999999</v>
      </c>
      <c r="C13" s="3">
        <f t="shared" si="4"/>
        <v>959.7857999999999</v>
      </c>
      <c r="D13" s="3">
        <v>3115</v>
      </c>
      <c r="E13" s="10">
        <f t="shared" si="0"/>
        <v>308.11743178170144</v>
      </c>
      <c r="F13" s="10">
        <v>18235</v>
      </c>
      <c r="G13" s="3">
        <f t="shared" si="1"/>
        <v>38764.803948450775</v>
      </c>
      <c r="I13" s="4"/>
      <c r="J13" s="5"/>
    </row>
    <row r="14" spans="1:10" ht="12.75">
      <c r="A14" s="1">
        <f t="shared" si="2"/>
        <v>1990</v>
      </c>
      <c r="B14" s="3">
        <f t="shared" si="3"/>
        <v>780.6352</v>
      </c>
      <c r="C14" s="3">
        <f t="shared" si="4"/>
        <v>1085.3388</v>
      </c>
      <c r="D14" s="3">
        <v>3223</v>
      </c>
      <c r="E14" s="10">
        <f t="shared" si="0"/>
        <v>336.7479987589203</v>
      </c>
      <c r="F14" s="10">
        <v>18257</v>
      </c>
      <c r="G14" s="3">
        <f t="shared" si="1"/>
        <v>42758.131127786604</v>
      </c>
      <c r="I14" s="4"/>
      <c r="J14" s="5"/>
    </row>
    <row r="15" spans="1:10" ht="12.75">
      <c r="A15" s="1">
        <f t="shared" si="2"/>
        <v>1991</v>
      </c>
      <c r="B15" s="3">
        <f t="shared" si="3"/>
        <v>855.7898</v>
      </c>
      <c r="C15" s="3">
        <f t="shared" si="4"/>
        <v>1213.4402</v>
      </c>
      <c r="D15" s="3">
        <v>3335</v>
      </c>
      <c r="E15" s="10">
        <f t="shared" si="0"/>
        <v>363.8501349325337</v>
      </c>
      <c r="F15" s="10">
        <v>18280</v>
      </c>
      <c r="G15" s="3">
        <f t="shared" si="1"/>
        <v>46815.63457330416</v>
      </c>
      <c r="I15" s="4"/>
      <c r="J15" s="5"/>
    </row>
    <row r="16" spans="1:10" ht="12.75">
      <c r="A16" s="1">
        <f t="shared" si="2"/>
        <v>1992</v>
      </c>
      <c r="B16" s="3">
        <f t="shared" si="3"/>
        <v>932.34</v>
      </c>
      <c r="C16" s="3">
        <f t="shared" si="4"/>
        <v>1344.0900000000001</v>
      </c>
      <c r="D16" s="3">
        <v>3451</v>
      </c>
      <c r="E16" s="10">
        <f t="shared" si="0"/>
        <v>389.478412054477</v>
      </c>
      <c r="F16" s="10">
        <v>18301</v>
      </c>
      <c r="G16" s="3">
        <f t="shared" si="1"/>
        <v>50944.757117097426</v>
      </c>
      <c r="I16" s="4"/>
      <c r="J16" s="5"/>
    </row>
    <row r="17" spans="1:10" ht="12.75">
      <c r="A17" s="1">
        <f t="shared" si="2"/>
        <v>1993</v>
      </c>
      <c r="B17" s="3">
        <f t="shared" si="3"/>
        <v>1010.2858</v>
      </c>
      <c r="C17" s="3">
        <f t="shared" si="4"/>
        <v>1477.2882</v>
      </c>
      <c r="D17" s="3">
        <v>3572</v>
      </c>
      <c r="E17" s="10">
        <f t="shared" si="0"/>
        <v>413.5745240761478</v>
      </c>
      <c r="F17" s="10">
        <v>18322</v>
      </c>
      <c r="G17" s="3">
        <f t="shared" si="1"/>
        <v>55140.585088964086</v>
      </c>
      <c r="I17" s="4"/>
      <c r="J17" s="5"/>
    </row>
    <row r="18" spans="1:10" ht="12.75">
      <c r="A18" s="1">
        <f t="shared" si="2"/>
        <v>1994</v>
      </c>
      <c r="B18" s="3">
        <f t="shared" si="3"/>
        <v>1089.6272</v>
      </c>
      <c r="C18" s="3">
        <f t="shared" si="4"/>
        <v>1613.0348</v>
      </c>
      <c r="D18" s="3">
        <v>3696</v>
      </c>
      <c r="E18" s="10">
        <f t="shared" si="0"/>
        <v>436.42716450216443</v>
      </c>
      <c r="F18" s="10">
        <v>18342</v>
      </c>
      <c r="G18" s="3">
        <f t="shared" si="1"/>
        <v>59406.12801221241</v>
      </c>
      <c r="I18" s="4"/>
      <c r="J18" s="5"/>
    </row>
    <row r="19" spans="1:10" ht="12.75">
      <c r="A19" s="1">
        <f t="shared" si="2"/>
        <v>1995</v>
      </c>
      <c r="B19" s="3">
        <f t="shared" si="3"/>
        <v>1170.3642</v>
      </c>
      <c r="C19" s="3">
        <f t="shared" si="4"/>
        <v>1751.3298</v>
      </c>
      <c r="D19" s="3">
        <v>3824</v>
      </c>
      <c r="E19" s="10">
        <f t="shared" si="0"/>
        <v>457.98373430962346</v>
      </c>
      <c r="F19" s="10">
        <v>18361</v>
      </c>
      <c r="G19" s="3">
        <f t="shared" si="1"/>
        <v>63741.85501878983</v>
      </c>
      <c r="I19" s="4"/>
      <c r="J19" s="5"/>
    </row>
    <row r="20" spans="9:10" ht="12.75">
      <c r="I20" s="4"/>
      <c r="J20" s="5"/>
    </row>
    <row r="22" ht="12.75">
      <c r="A22" s="8" t="s">
        <v>43</v>
      </c>
    </row>
    <row r="23" spans="1:7" ht="12.75">
      <c r="A23" s="13" t="s">
        <v>1</v>
      </c>
      <c r="B23" s="24" t="s">
        <v>36</v>
      </c>
      <c r="C23" s="24"/>
      <c r="D23" s="24" t="s">
        <v>37</v>
      </c>
      <c r="E23" s="24"/>
      <c r="F23" s="24" t="s">
        <v>38</v>
      </c>
      <c r="G23" s="24"/>
    </row>
    <row r="24" spans="1:7" ht="12.75">
      <c r="A24" s="14" t="s">
        <v>0</v>
      </c>
      <c r="B24" s="15" t="s">
        <v>18</v>
      </c>
      <c r="C24" s="15" t="s">
        <v>19</v>
      </c>
      <c r="D24" s="15" t="s">
        <v>20</v>
      </c>
      <c r="E24" s="15" t="s">
        <v>54</v>
      </c>
      <c r="F24" s="15" t="s">
        <v>39</v>
      </c>
      <c r="G24" s="15" t="s">
        <v>54</v>
      </c>
    </row>
    <row r="25" spans="1:19" ht="12.75">
      <c r="A25" s="1">
        <v>1983</v>
      </c>
      <c r="B25" s="1"/>
      <c r="C25" s="10">
        <f>3.3109*(A25-1982)^2+165.8*(A25-1982)+582.28</f>
        <v>751.3909</v>
      </c>
      <c r="D25" s="10">
        <f>C25*1000/D7</f>
        <v>294.43217084639497</v>
      </c>
      <c r="E25" s="12">
        <f aca="true" t="shared" si="5" ref="E25:E37">D25/E7-1</f>
        <v>1.8901406316229985</v>
      </c>
      <c r="F25" s="3">
        <f>C25*1000000/F7</f>
        <v>41550.03870825039</v>
      </c>
      <c r="G25" s="12">
        <f aca="true" t="shared" si="6" ref="G25:G37">F25/G7-1</f>
        <v>1.5589735782948462</v>
      </c>
      <c r="H25" s="18"/>
      <c r="Q25" s="18"/>
      <c r="S25" s="18"/>
    </row>
    <row r="26" spans="1:19" ht="12.75">
      <c r="A26" s="1">
        <f aca="true" t="shared" si="7" ref="A26:A37">A25+1</f>
        <v>1984</v>
      </c>
      <c r="B26" s="1">
        <v>850</v>
      </c>
      <c r="C26" s="10">
        <f aca="true" t="shared" si="8" ref="C26:C37">3.3109*(A26-1982)^2+165.8*(A26-1982)+582.28</f>
        <v>927.1236</v>
      </c>
      <c r="D26" s="10">
        <f aca="true" t="shared" si="9" ref="D26:D37">C26*1000/D8</f>
        <v>351.7160849772382</v>
      </c>
      <c r="E26" s="12">
        <f t="shared" si="5"/>
        <v>1.5040691776404276</v>
      </c>
      <c r="F26" s="3">
        <f aca="true" t="shared" si="10" ref="F26:F37">C26*1000000/F8</f>
        <v>51194.014356709</v>
      </c>
      <c r="G26" s="12">
        <f t="shared" si="6"/>
        <v>1.5824076529350286</v>
      </c>
      <c r="H26" s="18"/>
      <c r="Q26" s="18"/>
      <c r="S26" s="18"/>
    </row>
    <row r="27" spans="1:19" ht="12.75">
      <c r="A27" s="1">
        <f t="shared" si="7"/>
        <v>1985</v>
      </c>
      <c r="B27" s="1">
        <v>1131</v>
      </c>
      <c r="C27" s="10">
        <f t="shared" si="8"/>
        <v>1109.4781</v>
      </c>
      <c r="D27" s="10">
        <f t="shared" si="9"/>
        <v>407.446970253397</v>
      </c>
      <c r="E27" s="12">
        <f t="shared" si="5"/>
        <v>1.2967812547483963</v>
      </c>
      <c r="F27" s="3">
        <f t="shared" si="10"/>
        <v>61172.084688757786</v>
      </c>
      <c r="G27" s="12">
        <f t="shared" si="6"/>
        <v>1.6056552406996585</v>
      </c>
      <c r="H27" s="18"/>
      <c r="Q27" s="18"/>
      <c r="S27" s="18"/>
    </row>
    <row r="28" spans="1:19" ht="12.75">
      <c r="A28" s="1">
        <f t="shared" si="7"/>
        <v>1986</v>
      </c>
      <c r="B28" s="1">
        <v>1458</v>
      </c>
      <c r="C28" s="10">
        <f t="shared" si="8"/>
        <v>1298.4544</v>
      </c>
      <c r="D28" s="10">
        <f t="shared" si="9"/>
        <v>461.2626642984015</v>
      </c>
      <c r="E28" s="12">
        <f t="shared" si="5"/>
        <v>1.1698146376808691</v>
      </c>
      <c r="F28" s="3">
        <f t="shared" si="10"/>
        <v>71492.91928201739</v>
      </c>
      <c r="G28" s="12">
        <f t="shared" si="6"/>
        <v>1.6285949347818338</v>
      </c>
      <c r="H28" s="18"/>
      <c r="Q28" s="18"/>
      <c r="S28" s="18"/>
    </row>
    <row r="29" spans="1:19" ht="12.75">
      <c r="A29" s="1">
        <f t="shared" si="7"/>
        <v>1987</v>
      </c>
      <c r="B29" s="1">
        <v>1494</v>
      </c>
      <c r="C29" s="10">
        <f t="shared" si="8"/>
        <v>1494.0525</v>
      </c>
      <c r="D29" s="10">
        <f t="shared" si="9"/>
        <v>513.2437306767434</v>
      </c>
      <c r="E29" s="12">
        <f t="shared" si="5"/>
        <v>1.0857187729033613</v>
      </c>
      <c r="F29" s="3">
        <f t="shared" si="10"/>
        <v>82149.4748996536</v>
      </c>
      <c r="G29" s="12">
        <f t="shared" si="6"/>
        <v>1.6511680522407253</v>
      </c>
      <c r="H29" s="18"/>
      <c r="Q29" s="18"/>
      <c r="S29" s="18"/>
    </row>
    <row r="30" spans="1:19" ht="12.75">
      <c r="A30" s="1">
        <f t="shared" si="7"/>
        <v>1988</v>
      </c>
      <c r="B30" s="1">
        <v>1556</v>
      </c>
      <c r="C30" s="10">
        <f t="shared" si="8"/>
        <v>1696.2724</v>
      </c>
      <c r="D30" s="10">
        <f t="shared" si="9"/>
        <v>563.3584855529725</v>
      </c>
      <c r="E30" s="12">
        <f t="shared" si="5"/>
        <v>1.027139711073815</v>
      </c>
      <c r="F30" s="3">
        <f t="shared" si="10"/>
        <v>93145.48349898413</v>
      </c>
      <c r="G30" s="12">
        <f t="shared" si="6"/>
        <v>1.6733462272155895</v>
      </c>
      <c r="H30" s="18"/>
      <c r="Q30" s="18"/>
      <c r="S30" s="18"/>
    </row>
    <row r="31" spans="1:19" ht="12.75">
      <c r="A31" s="1">
        <f t="shared" si="7"/>
        <v>1989</v>
      </c>
      <c r="B31" s="1">
        <v>1950</v>
      </c>
      <c r="C31" s="10">
        <f t="shared" si="8"/>
        <v>1905.1141</v>
      </c>
      <c r="D31" s="10">
        <f t="shared" si="9"/>
        <v>611.5936115569824</v>
      </c>
      <c r="E31" s="12">
        <f t="shared" si="5"/>
        <v>0.9849367431774885</v>
      </c>
      <c r="F31" s="3">
        <f t="shared" si="10"/>
        <v>104475.68412393748</v>
      </c>
      <c r="G31" s="12">
        <f t="shared" si="6"/>
        <v>1.6951170516138472</v>
      </c>
      <c r="H31" s="18"/>
      <c r="Q31" s="18"/>
      <c r="S31" s="18"/>
    </row>
    <row r="32" spans="1:19" ht="12.75">
      <c r="A32" s="1">
        <f t="shared" si="7"/>
        <v>1990</v>
      </c>
      <c r="B32" s="1">
        <v>2096</v>
      </c>
      <c r="C32" s="10">
        <f t="shared" si="8"/>
        <v>2120.5776</v>
      </c>
      <c r="D32" s="10">
        <f t="shared" si="9"/>
        <v>657.9514737821905</v>
      </c>
      <c r="E32" s="12">
        <f t="shared" si="5"/>
        <v>0.9538392988438265</v>
      </c>
      <c r="F32" s="3">
        <f t="shared" si="10"/>
        <v>116151.48162348688</v>
      </c>
      <c r="G32" s="12">
        <f t="shared" si="6"/>
        <v>1.7164770433103707</v>
      </c>
      <c r="H32" s="18"/>
      <c r="Q32" s="18"/>
      <c r="S32" s="18"/>
    </row>
    <row r="33" spans="1:19" ht="12.75">
      <c r="A33" s="1">
        <f t="shared" si="7"/>
        <v>1991</v>
      </c>
      <c r="B33" s="1">
        <v>2351</v>
      </c>
      <c r="C33" s="10">
        <f t="shared" si="8"/>
        <v>2342.6629000000003</v>
      </c>
      <c r="D33" s="10">
        <f t="shared" si="9"/>
        <v>702.4476461769117</v>
      </c>
      <c r="E33" s="12">
        <f t="shared" si="5"/>
        <v>0.9305960854107196</v>
      </c>
      <c r="F33" s="3">
        <f t="shared" si="10"/>
        <v>128154.42560175057</v>
      </c>
      <c r="G33" s="12">
        <f t="shared" si="6"/>
        <v>1.7374279291480224</v>
      </c>
      <c r="H33" s="18"/>
      <c r="Q33" s="18"/>
      <c r="S33" s="18"/>
    </row>
    <row r="34" spans="1:19" ht="12.75">
      <c r="A34" s="1">
        <f t="shared" si="7"/>
        <v>1992</v>
      </c>
      <c r="B34" s="1"/>
      <c r="C34" s="10">
        <f t="shared" si="8"/>
        <v>2571.37</v>
      </c>
      <c r="D34" s="10">
        <f t="shared" si="9"/>
        <v>745.1086641553173</v>
      </c>
      <c r="E34" s="12">
        <f t="shared" si="5"/>
        <v>0.9130936172428927</v>
      </c>
      <c r="F34" s="3">
        <f t="shared" si="10"/>
        <v>140504.34402491667</v>
      </c>
      <c r="G34" s="12">
        <f t="shared" si="6"/>
        <v>1.757974558637407</v>
      </c>
      <c r="H34" s="18"/>
      <c r="Q34" s="18"/>
      <c r="S34" s="18"/>
    </row>
    <row r="35" spans="1:19" ht="12.75">
      <c r="A35" s="1">
        <f t="shared" si="7"/>
        <v>1993</v>
      </c>
      <c r="B35" s="1"/>
      <c r="C35" s="10">
        <f t="shared" si="8"/>
        <v>2806.6989000000003</v>
      </c>
      <c r="D35" s="10">
        <f t="shared" si="9"/>
        <v>785.7499720044793</v>
      </c>
      <c r="E35" s="12">
        <f t="shared" si="5"/>
        <v>0.8998993561310518</v>
      </c>
      <c r="F35" s="3">
        <f t="shared" si="10"/>
        <v>153187.36491649385</v>
      </c>
      <c r="G35" s="12">
        <f t="shared" si="6"/>
        <v>1.7781236754985574</v>
      </c>
      <c r="H35" s="18"/>
      <c r="Q35" s="18"/>
      <c r="S35" s="18"/>
    </row>
    <row r="36" spans="1:19" ht="12.75">
      <c r="A36" s="1">
        <f t="shared" si="7"/>
        <v>1994</v>
      </c>
      <c r="B36" s="1"/>
      <c r="C36" s="10">
        <f t="shared" si="8"/>
        <v>3048.6495999999997</v>
      </c>
      <c r="D36" s="10">
        <f t="shared" si="9"/>
        <v>824.8510822510822</v>
      </c>
      <c r="E36" s="12">
        <f t="shared" si="5"/>
        <v>0.8900085726606768</v>
      </c>
      <c r="F36" s="3">
        <f t="shared" si="10"/>
        <v>166211.40551739174</v>
      </c>
      <c r="G36" s="12">
        <f t="shared" si="6"/>
        <v>1.7978831659121575</v>
      </c>
      <c r="H36" s="18"/>
      <c r="Q36" s="18"/>
      <c r="S36" s="18"/>
    </row>
    <row r="37" spans="1:19" ht="12.75">
      <c r="A37" s="1">
        <f t="shared" si="7"/>
        <v>1995</v>
      </c>
      <c r="B37" s="1"/>
      <c r="C37" s="10">
        <f t="shared" si="8"/>
        <v>3297.2221</v>
      </c>
      <c r="D37" s="10">
        <f t="shared" si="9"/>
        <v>862.2442730125523</v>
      </c>
      <c r="E37" s="12">
        <f t="shared" si="5"/>
        <v>0.8826962802779921</v>
      </c>
      <c r="F37" s="3">
        <f t="shared" si="10"/>
        <v>179577.47944011763</v>
      </c>
      <c r="G37" s="12">
        <f t="shared" si="6"/>
        <v>1.8172615840436674</v>
      </c>
      <c r="H37" s="18"/>
      <c r="Q37" s="18"/>
      <c r="S37" s="18"/>
    </row>
  </sheetData>
  <mergeCells count="8">
    <mergeCell ref="A1:G1"/>
    <mergeCell ref="A2:G2"/>
    <mergeCell ref="D23:E23"/>
    <mergeCell ref="F23:G23"/>
    <mergeCell ref="B5:C5"/>
    <mergeCell ref="D5:E5"/>
    <mergeCell ref="F5:G5"/>
    <mergeCell ref="B23:C23"/>
  </mergeCells>
  <printOptions horizontalCentered="1" verticalCentered="1"/>
  <pageMargins left="1.1811023622047245" right="1.1811023622047245" top="1.1811023622047245" bottom="1.1811023622047245" header="0.7086614173228347" footer="0.7086614173228347"/>
  <pageSetup fitToHeight="1" fitToWidth="1" horizontalDpi="300" verticalDpi="300" orientation="portrait" paperSize="9" r:id="rId1"/>
  <headerFooter alignWithMargins="0">
    <oddHeader>&amp;R&amp;"Arial,Grassetto"&amp;12ANNEX 4</oddHeader>
    <oddFooter>&amp;L&amp;8&amp;F/&amp;A&amp;R&amp;8&amp;D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75" zoomScaleNormal="75" workbookViewId="0" topLeftCell="A1">
      <selection activeCell="F25" sqref="F25"/>
    </sheetView>
  </sheetViews>
  <sheetFormatPr defaultColWidth="9.140625" defaultRowHeight="12.75"/>
  <cols>
    <col min="2" max="6" width="10.7109375" style="0" customWidth="1"/>
  </cols>
  <sheetData>
    <row r="1" spans="1:7" ht="15">
      <c r="A1" s="20" t="s">
        <v>8</v>
      </c>
      <c r="B1" s="20"/>
      <c r="C1" s="20"/>
      <c r="D1" s="20"/>
      <c r="E1" s="20"/>
      <c r="F1" s="20"/>
      <c r="G1" s="20"/>
    </row>
    <row r="2" spans="1:7" ht="15">
      <c r="A2" s="20" t="s">
        <v>55</v>
      </c>
      <c r="B2" s="20"/>
      <c r="C2" s="20"/>
      <c r="D2" s="20"/>
      <c r="E2" s="20"/>
      <c r="F2" s="20"/>
      <c r="G2" s="20"/>
    </row>
    <row r="4" ht="12.75">
      <c r="A4" s="8" t="s">
        <v>30</v>
      </c>
    </row>
    <row r="5" spans="1:7" ht="12.75">
      <c r="A5" s="13" t="s">
        <v>1</v>
      </c>
      <c r="B5" s="24" t="s">
        <v>2</v>
      </c>
      <c r="C5" s="24"/>
      <c r="D5" s="24" t="s">
        <v>34</v>
      </c>
      <c r="E5" s="24"/>
      <c r="F5" s="24" t="s">
        <v>31</v>
      </c>
      <c r="G5" s="24"/>
    </row>
    <row r="6" spans="1:7" ht="12.75">
      <c r="A6" s="14" t="s">
        <v>0</v>
      </c>
      <c r="B6" s="15" t="s">
        <v>3</v>
      </c>
      <c r="C6" s="15" t="s">
        <v>4</v>
      </c>
      <c r="D6" s="15" t="s">
        <v>32</v>
      </c>
      <c r="E6" s="15" t="s">
        <v>33</v>
      </c>
      <c r="F6" s="15" t="s">
        <v>35</v>
      </c>
      <c r="G6" s="15" t="s">
        <v>40</v>
      </c>
    </row>
    <row r="7" spans="1:10" ht="12.75">
      <c r="A7" s="1">
        <v>1983</v>
      </c>
      <c r="B7" s="3">
        <f>grossprod!B7</f>
        <v>293.6298</v>
      </c>
      <c r="C7" s="3">
        <f>grossprod!C7</f>
        <v>259.9842</v>
      </c>
      <c r="D7" s="3">
        <v>2552</v>
      </c>
      <c r="E7" s="10">
        <f aca="true" t="shared" si="0" ref="E7:E19">C7*1000/D7</f>
        <v>101.87468652037617</v>
      </c>
      <c r="F7" s="10">
        <v>18084</v>
      </c>
      <c r="G7" s="3">
        <f aca="true" t="shared" si="1" ref="G7:G19">B7*1000000/F7</f>
        <v>16236.99402786994</v>
      </c>
      <c r="J7" s="5"/>
    </row>
    <row r="8" spans="1:10" ht="12.75">
      <c r="A8" s="1">
        <f>A7+1</f>
        <v>1984</v>
      </c>
      <c r="B8" s="3">
        <f>grossprod!B8</f>
        <v>359.0152</v>
      </c>
      <c r="C8" s="3">
        <f>grossprod!C8</f>
        <v>370.2468</v>
      </c>
      <c r="D8" s="3">
        <v>2636</v>
      </c>
      <c r="E8" s="10">
        <f t="shared" si="0"/>
        <v>140.4578148710167</v>
      </c>
      <c r="F8" s="10">
        <v>18111</v>
      </c>
      <c r="G8" s="3">
        <f t="shared" si="1"/>
        <v>19823.04676715808</v>
      </c>
      <c r="I8" s="4"/>
      <c r="J8" s="5"/>
    </row>
    <row r="9" spans="1:10" ht="12.75">
      <c r="A9" s="1">
        <f aca="true" t="shared" si="2" ref="A9:A19">A8+1</f>
        <v>1985</v>
      </c>
      <c r="B9" s="3">
        <f>grossprod!B9</f>
        <v>425.7962</v>
      </c>
      <c r="C9" s="3">
        <f>grossprod!C9</f>
        <v>483.05780000000004</v>
      </c>
      <c r="D9" s="3">
        <v>2723</v>
      </c>
      <c r="E9" s="10">
        <f t="shared" si="0"/>
        <v>177.39911861917005</v>
      </c>
      <c r="F9" s="10">
        <v>18137</v>
      </c>
      <c r="G9" s="3">
        <f t="shared" si="1"/>
        <v>23476.6609692893</v>
      </c>
      <c r="I9" s="4"/>
      <c r="J9" s="5"/>
    </row>
    <row r="10" spans="1:10" ht="12.75">
      <c r="A10" s="1">
        <f t="shared" si="2"/>
        <v>1986</v>
      </c>
      <c r="B10" s="3">
        <f>grossprod!B10</f>
        <v>493.9728</v>
      </c>
      <c r="C10" s="3">
        <f>grossprod!C10</f>
        <v>598.4172</v>
      </c>
      <c r="D10" s="3">
        <v>2815</v>
      </c>
      <c r="E10" s="10">
        <f t="shared" si="0"/>
        <v>212.58159857904084</v>
      </c>
      <c r="F10" s="10">
        <v>18162</v>
      </c>
      <c r="G10" s="3">
        <f t="shared" si="1"/>
        <v>27198.149983481995</v>
      </c>
      <c r="I10" s="4"/>
      <c r="J10" s="5"/>
    </row>
    <row r="11" spans="1:10" ht="12.75">
      <c r="A11" s="1">
        <f t="shared" si="2"/>
        <v>1987</v>
      </c>
      <c r="B11" s="3">
        <f>grossprod!B11</f>
        <v>563.5450000000001</v>
      </c>
      <c r="C11" s="3">
        <f>grossprod!C11</f>
        <v>716.325</v>
      </c>
      <c r="D11" s="3">
        <v>2911</v>
      </c>
      <c r="E11" s="10">
        <f t="shared" si="0"/>
        <v>246.07523187907935</v>
      </c>
      <c r="F11" s="10">
        <v>18187</v>
      </c>
      <c r="G11" s="3">
        <f t="shared" si="1"/>
        <v>30986.14394897455</v>
      </c>
      <c r="I11" s="4"/>
      <c r="J11" s="5"/>
    </row>
    <row r="12" spans="1:10" ht="12.75">
      <c r="A12" s="1">
        <f t="shared" si="2"/>
        <v>1988</v>
      </c>
      <c r="B12" s="3">
        <f>grossprod!B12</f>
        <v>634.5128</v>
      </c>
      <c r="C12" s="3">
        <f>grossprod!C12</f>
        <v>836.7812</v>
      </c>
      <c r="D12" s="3">
        <v>3011</v>
      </c>
      <c r="E12" s="10">
        <f t="shared" si="0"/>
        <v>277.90807040850217</v>
      </c>
      <c r="F12" s="10">
        <v>18211</v>
      </c>
      <c r="G12" s="3">
        <f t="shared" si="1"/>
        <v>34842.282137169845</v>
      </c>
      <c r="I12" s="4"/>
      <c r="J12" s="5"/>
    </row>
    <row r="13" spans="1:10" ht="12.75">
      <c r="A13" s="1">
        <f t="shared" si="2"/>
        <v>1989</v>
      </c>
      <c r="B13" s="3">
        <f>grossprod!B13</f>
        <v>706.8761999999999</v>
      </c>
      <c r="C13" s="3">
        <f>grossprod!C13</f>
        <v>959.7857999999999</v>
      </c>
      <c r="D13" s="3">
        <v>3115</v>
      </c>
      <c r="E13" s="10">
        <f t="shared" si="0"/>
        <v>308.11743178170144</v>
      </c>
      <c r="F13" s="10">
        <v>18235</v>
      </c>
      <c r="G13" s="3">
        <f t="shared" si="1"/>
        <v>38764.803948450775</v>
      </c>
      <c r="I13" s="4"/>
      <c r="J13" s="5"/>
    </row>
    <row r="14" spans="1:10" ht="12.75">
      <c r="A14" s="1">
        <f t="shared" si="2"/>
        <v>1990</v>
      </c>
      <c r="B14" s="3">
        <f>grossprod!B14</f>
        <v>780.6352</v>
      </c>
      <c r="C14" s="3">
        <f>grossprod!C14</f>
        <v>1085.3388</v>
      </c>
      <c r="D14" s="3">
        <v>3223</v>
      </c>
      <c r="E14" s="10">
        <f t="shared" si="0"/>
        <v>336.7479987589203</v>
      </c>
      <c r="F14" s="10">
        <v>18258</v>
      </c>
      <c r="G14" s="3">
        <f t="shared" si="1"/>
        <v>42755.78924307153</v>
      </c>
      <c r="I14" s="4"/>
      <c r="J14" s="5"/>
    </row>
    <row r="15" spans="1:10" ht="12.75">
      <c r="A15" s="1">
        <f t="shared" si="2"/>
        <v>1991</v>
      </c>
      <c r="B15" s="3">
        <f>grossprod!B15</f>
        <v>855.7898</v>
      </c>
      <c r="C15" s="3">
        <f>grossprod!C15</f>
        <v>1213.4402</v>
      </c>
      <c r="D15" s="3">
        <v>3335</v>
      </c>
      <c r="E15" s="10">
        <f t="shared" si="0"/>
        <v>363.8501349325337</v>
      </c>
      <c r="F15" s="10">
        <v>18280</v>
      </c>
      <c r="G15" s="3">
        <f t="shared" si="1"/>
        <v>46815.63457330416</v>
      </c>
      <c r="I15" s="4"/>
      <c r="J15" s="5"/>
    </row>
    <row r="16" spans="1:10" ht="12.75">
      <c r="A16" s="1">
        <f t="shared" si="2"/>
        <v>1992</v>
      </c>
      <c r="B16" s="3">
        <f>grossprod!B16</f>
        <v>932.34</v>
      </c>
      <c r="C16" s="3">
        <f>grossprod!C16</f>
        <v>1344.0900000000001</v>
      </c>
      <c r="D16" s="3">
        <v>3451</v>
      </c>
      <c r="E16" s="10">
        <f t="shared" si="0"/>
        <v>389.478412054477</v>
      </c>
      <c r="F16" s="10">
        <v>18301</v>
      </c>
      <c r="G16" s="3">
        <f t="shared" si="1"/>
        <v>50944.757117097426</v>
      </c>
      <c r="I16" s="4"/>
      <c r="J16" s="5"/>
    </row>
    <row r="17" spans="1:10" ht="12.75">
      <c r="A17" s="1">
        <f t="shared" si="2"/>
        <v>1993</v>
      </c>
      <c r="B17" s="3">
        <f>grossprod!B17</f>
        <v>1010.2858</v>
      </c>
      <c r="C17" s="3">
        <f>grossprod!C17</f>
        <v>1477.2882</v>
      </c>
      <c r="D17" s="3">
        <v>3572</v>
      </c>
      <c r="E17" s="10">
        <f t="shared" si="0"/>
        <v>413.5745240761478</v>
      </c>
      <c r="F17" s="10">
        <v>18322</v>
      </c>
      <c r="G17" s="3">
        <f t="shared" si="1"/>
        <v>55140.585088964086</v>
      </c>
      <c r="I17" s="4"/>
      <c r="J17" s="5"/>
    </row>
    <row r="18" spans="1:10" ht="12.75">
      <c r="A18" s="1">
        <f t="shared" si="2"/>
        <v>1994</v>
      </c>
      <c r="B18" s="3">
        <f>grossprod!B18</f>
        <v>1089.6272</v>
      </c>
      <c r="C18" s="3">
        <f>grossprod!C18</f>
        <v>1613.0348</v>
      </c>
      <c r="D18" s="3">
        <v>3696</v>
      </c>
      <c r="E18" s="10">
        <f t="shared" si="0"/>
        <v>436.42716450216443</v>
      </c>
      <c r="F18" s="10">
        <v>18342</v>
      </c>
      <c r="G18" s="3">
        <f t="shared" si="1"/>
        <v>59406.12801221241</v>
      </c>
      <c r="I18" s="4"/>
      <c r="J18" s="5"/>
    </row>
    <row r="19" spans="1:10" ht="12.75">
      <c r="A19" s="1">
        <f t="shared" si="2"/>
        <v>1995</v>
      </c>
      <c r="B19" s="3">
        <f>grossprod!B19</f>
        <v>1170.3642</v>
      </c>
      <c r="C19" s="3">
        <f>grossprod!C19</f>
        <v>1751.3298</v>
      </c>
      <c r="D19" s="3">
        <v>3824</v>
      </c>
      <c r="E19" s="10">
        <f t="shared" si="0"/>
        <v>457.98373430962346</v>
      </c>
      <c r="F19" s="10">
        <v>18361</v>
      </c>
      <c r="G19" s="3">
        <f t="shared" si="1"/>
        <v>63741.85501878983</v>
      </c>
      <c r="I19" s="4"/>
      <c r="J19" s="5"/>
    </row>
    <row r="20" spans="9:10" ht="12.75">
      <c r="I20" s="4"/>
      <c r="J20" s="5"/>
    </row>
    <row r="22" ht="12.75">
      <c r="A22" s="8" t="s">
        <v>57</v>
      </c>
    </row>
    <row r="23" spans="1:7" ht="12.75">
      <c r="A23" s="13" t="s">
        <v>1</v>
      </c>
      <c r="B23" s="24" t="s">
        <v>36</v>
      </c>
      <c r="C23" s="24"/>
      <c r="D23" s="24" t="s">
        <v>37</v>
      </c>
      <c r="E23" s="24"/>
      <c r="F23" s="24" t="s">
        <v>38</v>
      </c>
      <c r="G23" s="24"/>
    </row>
    <row r="24" spans="1:7" ht="12.75">
      <c r="A24" s="14" t="s">
        <v>0</v>
      </c>
      <c r="B24" s="15" t="s">
        <v>18</v>
      </c>
      <c r="C24" s="15" t="s">
        <v>19</v>
      </c>
      <c r="D24" s="15" t="s">
        <v>20</v>
      </c>
      <c r="E24" s="15" t="s">
        <v>54</v>
      </c>
      <c r="F24" s="15" t="s">
        <v>39</v>
      </c>
      <c r="G24" s="15" t="s">
        <v>54</v>
      </c>
    </row>
    <row r="25" spans="1:7" ht="12.75">
      <c r="A25" s="1">
        <v>1983</v>
      </c>
      <c r="B25" s="1"/>
      <c r="C25" s="10">
        <f>3.3109*(A25-1982)^2+165.8*(A25-1982)+582.28</f>
        <v>751.3909</v>
      </c>
      <c r="D25" s="10">
        <f>C7*1000/D7</f>
        <v>101.87468652037617</v>
      </c>
      <c r="E25" s="12">
        <f>D25/E7-1</f>
        <v>0</v>
      </c>
      <c r="F25" s="3">
        <f>(C25-C7)*1000000/F7</f>
        <v>27173.562264985623</v>
      </c>
      <c r="G25" s="12">
        <f>F25/G7-1</f>
        <v>0.673558678308537</v>
      </c>
    </row>
    <row r="26" spans="1:7" ht="12.75">
      <c r="A26" s="1">
        <f>A25+1</f>
        <v>1984</v>
      </c>
      <c r="B26" s="1">
        <v>850</v>
      </c>
      <c r="C26" s="10">
        <f aca="true" t="shared" si="3" ref="C26:C37">3.3109*(A26-1982)^2+165.8*(A26-1982)+582.28</f>
        <v>927.1236</v>
      </c>
      <c r="D26" s="10">
        <f aca="true" t="shared" si="4" ref="D26:D37">C8*1000/D8</f>
        <v>140.4578148710167</v>
      </c>
      <c r="E26" s="12">
        <f aca="true" t="shared" si="5" ref="E26:E37">D26/E8-1</f>
        <v>0</v>
      </c>
      <c r="F26" s="3">
        <f aca="true" t="shared" si="6" ref="F26:F37">(C26-C8)*1000000/F8</f>
        <v>30747.98741096571</v>
      </c>
      <c r="G26" s="12">
        <f aca="true" t="shared" si="7" ref="G26:G37">F26/G8-1</f>
        <v>0.5511231836423638</v>
      </c>
    </row>
    <row r="27" spans="1:7" ht="12.75">
      <c r="A27" s="1">
        <f aca="true" t="shared" si="8" ref="A27:A37">A26+1</f>
        <v>1985</v>
      </c>
      <c r="B27" s="1">
        <v>1131</v>
      </c>
      <c r="C27" s="10">
        <f t="shared" si="3"/>
        <v>1109.4781</v>
      </c>
      <c r="D27" s="10">
        <f t="shared" si="4"/>
        <v>177.39911861917005</v>
      </c>
      <c r="E27" s="12">
        <f t="shared" si="5"/>
        <v>0</v>
      </c>
      <c r="F27" s="3">
        <f t="shared" si="6"/>
        <v>34538.253294370625</v>
      </c>
      <c r="G27" s="12">
        <f t="shared" si="7"/>
        <v>0.4711740029619804</v>
      </c>
    </row>
    <row r="28" spans="1:7" ht="12.75">
      <c r="A28" s="1">
        <f t="shared" si="8"/>
        <v>1986</v>
      </c>
      <c r="B28" s="1">
        <v>1458</v>
      </c>
      <c r="C28" s="10">
        <f t="shared" si="3"/>
        <v>1298.4544</v>
      </c>
      <c r="D28" s="10">
        <f t="shared" si="4"/>
        <v>212.58159857904084</v>
      </c>
      <c r="E28" s="12">
        <f t="shared" si="5"/>
        <v>0</v>
      </c>
      <c r="F28" s="3">
        <f t="shared" si="6"/>
        <v>38544.05902433654</v>
      </c>
      <c r="G28" s="12">
        <f t="shared" si="7"/>
        <v>0.41715738194491725</v>
      </c>
    </row>
    <row r="29" spans="1:7" ht="12.75">
      <c r="A29" s="1">
        <f t="shared" si="8"/>
        <v>1987</v>
      </c>
      <c r="B29" s="1">
        <v>1494</v>
      </c>
      <c r="C29" s="10">
        <f t="shared" si="3"/>
        <v>1494.0525</v>
      </c>
      <c r="D29" s="10">
        <f t="shared" si="4"/>
        <v>246.07523187907935</v>
      </c>
      <c r="E29" s="12">
        <f t="shared" si="5"/>
        <v>0</v>
      </c>
      <c r="F29" s="3">
        <f t="shared" si="6"/>
        <v>42762.82509484797</v>
      </c>
      <c r="G29" s="12">
        <f t="shared" si="7"/>
        <v>0.38006281663398633</v>
      </c>
    </row>
    <row r="30" spans="1:7" ht="12.75">
      <c r="A30" s="1">
        <f t="shared" si="8"/>
        <v>1988</v>
      </c>
      <c r="B30" s="1">
        <v>1556</v>
      </c>
      <c r="C30" s="10">
        <f t="shared" si="3"/>
        <v>1696.2724</v>
      </c>
      <c r="D30" s="10">
        <f t="shared" si="4"/>
        <v>277.90807040850217</v>
      </c>
      <c r="E30" s="12">
        <f t="shared" si="5"/>
        <v>0</v>
      </c>
      <c r="F30" s="3">
        <f t="shared" si="6"/>
        <v>47196.265993081106</v>
      </c>
      <c r="G30" s="12">
        <f t="shared" si="7"/>
        <v>0.3545687336803922</v>
      </c>
    </row>
    <row r="31" spans="1:7" ht="12.75">
      <c r="A31" s="1">
        <f t="shared" si="8"/>
        <v>1989</v>
      </c>
      <c r="B31" s="1">
        <v>1950</v>
      </c>
      <c r="C31" s="10">
        <f t="shared" si="3"/>
        <v>1905.1141</v>
      </c>
      <c r="D31" s="10">
        <f t="shared" si="4"/>
        <v>308.11743178170144</v>
      </c>
      <c r="E31" s="12">
        <f t="shared" si="5"/>
        <v>0</v>
      </c>
      <c r="F31" s="3">
        <f t="shared" si="6"/>
        <v>51841.42034548945</v>
      </c>
      <c r="G31" s="12">
        <f t="shared" si="7"/>
        <v>0.33733219480299415</v>
      </c>
    </row>
    <row r="32" spans="1:7" ht="12.75">
      <c r="A32" s="1">
        <f t="shared" si="8"/>
        <v>1990</v>
      </c>
      <c r="B32" s="1">
        <v>2096</v>
      </c>
      <c r="C32" s="10">
        <f t="shared" si="3"/>
        <v>2120.5776</v>
      </c>
      <c r="D32" s="10">
        <f t="shared" si="4"/>
        <v>336.7479987589203</v>
      </c>
      <c r="E32" s="12">
        <f t="shared" si="5"/>
        <v>0</v>
      </c>
      <c r="F32" s="3">
        <f t="shared" si="6"/>
        <v>56700.55865921788</v>
      </c>
      <c r="G32" s="12">
        <f t="shared" si="7"/>
        <v>0.3261492692105097</v>
      </c>
    </row>
    <row r="33" spans="1:7" ht="12.75">
      <c r="A33" s="1">
        <f t="shared" si="8"/>
        <v>1991</v>
      </c>
      <c r="B33" s="1">
        <v>2351</v>
      </c>
      <c r="C33" s="10">
        <f t="shared" si="3"/>
        <v>2342.6629000000003</v>
      </c>
      <c r="D33" s="10">
        <f t="shared" si="4"/>
        <v>363.8501349325337</v>
      </c>
      <c r="E33" s="12">
        <f t="shared" si="5"/>
        <v>0</v>
      </c>
      <c r="F33" s="3">
        <f t="shared" si="6"/>
        <v>61773.670678336995</v>
      </c>
      <c r="G33" s="12">
        <f t="shared" si="7"/>
        <v>0.3195094169152288</v>
      </c>
    </row>
    <row r="34" spans="1:7" ht="12.75">
      <c r="A34" s="1">
        <f t="shared" si="8"/>
        <v>1992</v>
      </c>
      <c r="B34" s="1"/>
      <c r="C34" s="10">
        <f t="shared" si="3"/>
        <v>2571.37</v>
      </c>
      <c r="D34" s="10">
        <f t="shared" si="4"/>
        <v>389.478412054477</v>
      </c>
      <c r="E34" s="12">
        <f t="shared" si="5"/>
        <v>0</v>
      </c>
      <c r="F34" s="3">
        <f t="shared" si="6"/>
        <v>67060.81634883338</v>
      </c>
      <c r="G34" s="12">
        <f t="shared" si="7"/>
        <v>0.31634382306883735</v>
      </c>
    </row>
    <row r="35" spans="1:7" ht="12.75">
      <c r="A35" s="1">
        <f t="shared" si="8"/>
        <v>1993</v>
      </c>
      <c r="B35" s="1"/>
      <c r="C35" s="10">
        <f t="shared" si="3"/>
        <v>2806.6989000000003</v>
      </c>
      <c r="D35" s="10">
        <f t="shared" si="4"/>
        <v>413.5745240761478</v>
      </c>
      <c r="E35" s="12">
        <f t="shared" si="5"/>
        <v>0</v>
      </c>
      <c r="F35" s="3">
        <f t="shared" si="6"/>
        <v>72558.16504748393</v>
      </c>
      <c r="G35" s="12">
        <f t="shared" si="7"/>
        <v>0.31587586403768175</v>
      </c>
    </row>
    <row r="36" spans="1:7" ht="12.75">
      <c r="A36" s="1">
        <f t="shared" si="8"/>
        <v>1994</v>
      </c>
      <c r="B36" s="1"/>
      <c r="C36" s="10">
        <f t="shared" si="3"/>
        <v>3048.6495999999997</v>
      </c>
      <c r="D36" s="10">
        <f t="shared" si="4"/>
        <v>436.42716450216443</v>
      </c>
      <c r="E36" s="12">
        <f t="shared" si="5"/>
        <v>0</v>
      </c>
      <c r="F36" s="3">
        <f t="shared" si="6"/>
        <v>78269.26180351105</v>
      </c>
      <c r="G36" s="12">
        <f t="shared" si="7"/>
        <v>0.3175284170586048</v>
      </c>
    </row>
    <row r="37" spans="1:7" ht="12.75">
      <c r="A37" s="1">
        <f t="shared" si="8"/>
        <v>1995</v>
      </c>
      <c r="B37" s="1"/>
      <c r="C37" s="10">
        <f t="shared" si="3"/>
        <v>3297.2221</v>
      </c>
      <c r="D37" s="10">
        <f t="shared" si="4"/>
        <v>457.98373430962346</v>
      </c>
      <c r="E37" s="12">
        <f t="shared" si="5"/>
        <v>0</v>
      </c>
      <c r="F37" s="3">
        <f t="shared" si="6"/>
        <v>84194.34126681554</v>
      </c>
      <c r="G37" s="12">
        <f t="shared" si="7"/>
        <v>0.3208643087339822</v>
      </c>
    </row>
  </sheetData>
  <mergeCells count="8">
    <mergeCell ref="A1:G1"/>
    <mergeCell ref="A2:G2"/>
    <mergeCell ref="D23:E23"/>
    <mergeCell ref="F23:G23"/>
    <mergeCell ref="B5:C5"/>
    <mergeCell ref="D5:E5"/>
    <mergeCell ref="F5:G5"/>
    <mergeCell ref="B23:C23"/>
  </mergeCells>
  <printOptions horizontalCentered="1" verticalCentered="1"/>
  <pageMargins left="1.1811023622047245" right="1.1811023622047245" top="1.1811023622047245" bottom="1.1811023622047245" header="0.7086614173228347" footer="0.7086614173228347"/>
  <pageSetup fitToHeight="1" fitToWidth="1" horizontalDpi="300" verticalDpi="300" orientation="portrait" paperSize="9" r:id="rId1"/>
  <headerFooter alignWithMargins="0">
    <oddHeader>&amp;R&amp;"Arial,Grassetto"&amp;12ANNEX 5</oddHeader>
    <oddFooter>&amp;L&amp;8&amp;F/&amp;A&amp;R&amp;8&amp;D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75" zoomScaleNormal="75" workbookViewId="0" topLeftCell="A1">
      <selection activeCell="A1" sqref="A1:G1"/>
    </sheetView>
  </sheetViews>
  <sheetFormatPr defaultColWidth="9.140625" defaultRowHeight="12.75"/>
  <cols>
    <col min="1" max="7" width="10.7109375" style="0" customWidth="1"/>
  </cols>
  <sheetData>
    <row r="1" spans="1:7" ht="19.5">
      <c r="A1" s="25" t="s">
        <v>8</v>
      </c>
      <c r="B1" s="25"/>
      <c r="C1" s="25"/>
      <c r="D1" s="25"/>
      <c r="E1" s="25"/>
      <c r="F1" s="25"/>
      <c r="G1" s="25"/>
    </row>
    <row r="2" spans="1:7" ht="12.75">
      <c r="A2" s="26" t="s">
        <v>21</v>
      </c>
      <c r="B2" s="26"/>
      <c r="C2" s="26"/>
      <c r="D2" s="26"/>
      <c r="E2" s="26"/>
      <c r="F2" s="26"/>
      <c r="G2" s="26"/>
    </row>
    <row r="4" ht="14.25">
      <c r="A4" s="16" t="s">
        <v>29</v>
      </c>
    </row>
    <row r="5" spans="1:7" ht="12.75">
      <c r="A5" s="13" t="s">
        <v>1</v>
      </c>
      <c r="B5" s="13" t="s">
        <v>17</v>
      </c>
      <c r="C5" s="13" t="s">
        <v>26</v>
      </c>
      <c r="D5" s="13" t="s">
        <v>27</v>
      </c>
      <c r="E5" s="13" t="s">
        <v>22</v>
      </c>
      <c r="F5" s="13" t="s">
        <v>23</v>
      </c>
      <c r="G5" s="13" t="s">
        <v>24</v>
      </c>
    </row>
    <row r="6" spans="1:7" ht="15.75">
      <c r="A6" s="14" t="s">
        <v>10</v>
      </c>
      <c r="B6" s="14" t="s">
        <v>28</v>
      </c>
      <c r="C6" s="14" t="s">
        <v>28</v>
      </c>
      <c r="D6" s="14" t="s">
        <v>28</v>
      </c>
      <c r="E6" s="14" t="s">
        <v>28</v>
      </c>
      <c r="F6" s="14" t="s">
        <v>28</v>
      </c>
      <c r="G6" s="14" t="s">
        <v>25</v>
      </c>
    </row>
    <row r="7" spans="1:10" ht="12.75">
      <c r="A7" s="1">
        <v>1983</v>
      </c>
      <c r="B7" s="10">
        <f>grossprod!C25</f>
        <v>751.3909</v>
      </c>
      <c r="C7" s="3">
        <f>grossprod!C7</f>
        <v>259.9842</v>
      </c>
      <c r="D7" s="3">
        <f>grossprod!B7</f>
        <v>293.6298</v>
      </c>
      <c r="E7" s="10">
        <f>B7-C7-D7</f>
        <v>197.7769</v>
      </c>
      <c r="F7" s="10">
        <v>2220</v>
      </c>
      <c r="G7" s="12">
        <f>E7/F7</f>
        <v>0.0890886936936937</v>
      </c>
      <c r="J7" s="18"/>
    </row>
    <row r="8" spans="1:10" ht="12.75">
      <c r="A8" s="1">
        <f>A7+1</f>
        <v>1984</v>
      </c>
      <c r="B8" s="10">
        <f>grossprod!C26</f>
        <v>927.1236</v>
      </c>
      <c r="C8" s="3">
        <f>grossprod!C8</f>
        <v>370.2468</v>
      </c>
      <c r="D8" s="3">
        <f>grossprod!B8</f>
        <v>359.0152</v>
      </c>
      <c r="E8" s="10">
        <f aca="true" t="shared" si="0" ref="E8:E19">B8-C8-D8</f>
        <v>197.8616</v>
      </c>
      <c r="F8" s="10">
        <v>2694</v>
      </c>
      <c r="G8" s="12">
        <f aca="true" t="shared" si="1" ref="G8:G19">E8/F8</f>
        <v>0.0734452858203415</v>
      </c>
      <c r="J8" s="18"/>
    </row>
    <row r="9" spans="1:10" ht="12.75">
      <c r="A9" s="1">
        <f aca="true" t="shared" si="2" ref="A9:A19">A8+1</f>
        <v>1985</v>
      </c>
      <c r="B9" s="10">
        <f>grossprod!C27</f>
        <v>1109.4781</v>
      </c>
      <c r="C9" s="3">
        <f>grossprod!C9</f>
        <v>483.05780000000004</v>
      </c>
      <c r="D9" s="3">
        <f>grossprod!B9</f>
        <v>425.7962</v>
      </c>
      <c r="E9" s="10">
        <f t="shared" si="0"/>
        <v>200.6241</v>
      </c>
      <c r="F9" s="10">
        <v>3249</v>
      </c>
      <c r="G9" s="12">
        <f t="shared" si="1"/>
        <v>0.06174949215143121</v>
      </c>
      <c r="J9" s="18"/>
    </row>
    <row r="10" spans="1:10" ht="12.75">
      <c r="A10" s="1">
        <f t="shared" si="2"/>
        <v>1986</v>
      </c>
      <c r="B10" s="10">
        <f>grossprod!C28</f>
        <v>1298.4544</v>
      </c>
      <c r="C10" s="3">
        <f>grossprod!C10</f>
        <v>598.4172</v>
      </c>
      <c r="D10" s="3">
        <f>grossprod!B10</f>
        <v>493.9728</v>
      </c>
      <c r="E10" s="10">
        <f t="shared" si="0"/>
        <v>206.0644000000001</v>
      </c>
      <c r="F10" s="10">
        <v>3854</v>
      </c>
      <c r="G10" s="12">
        <f t="shared" si="1"/>
        <v>0.0534676699532953</v>
      </c>
      <c r="J10" s="18"/>
    </row>
    <row r="11" spans="1:10" ht="12.75">
      <c r="A11" s="1">
        <f t="shared" si="2"/>
        <v>1987</v>
      </c>
      <c r="B11" s="10">
        <f>grossprod!C29</f>
        <v>1494.0525</v>
      </c>
      <c r="C11" s="3">
        <f>grossprod!C11</f>
        <v>716.325</v>
      </c>
      <c r="D11" s="3">
        <f>grossprod!B11</f>
        <v>563.5450000000001</v>
      </c>
      <c r="E11" s="10">
        <f t="shared" si="0"/>
        <v>214.1824999999999</v>
      </c>
      <c r="F11" s="10">
        <v>4497</v>
      </c>
      <c r="G11" s="12">
        <f t="shared" si="1"/>
        <v>0.047627863019790946</v>
      </c>
      <c r="J11" s="18"/>
    </row>
    <row r="12" spans="1:10" ht="12.75">
      <c r="A12" s="1">
        <f t="shared" si="2"/>
        <v>1988</v>
      </c>
      <c r="B12" s="10">
        <f>grossprod!C30</f>
        <v>1696.2724</v>
      </c>
      <c r="C12" s="3">
        <f>grossprod!C12</f>
        <v>836.7812</v>
      </c>
      <c r="D12" s="3">
        <f>grossprod!B12</f>
        <v>634.5128</v>
      </c>
      <c r="E12" s="10">
        <f t="shared" si="0"/>
        <v>224.97840000000008</v>
      </c>
      <c r="F12" s="10">
        <v>5375</v>
      </c>
      <c r="G12" s="12">
        <f t="shared" si="1"/>
        <v>0.04185644651162792</v>
      </c>
      <c r="J12" s="18"/>
    </row>
    <row r="13" spans="1:10" ht="12.75">
      <c r="A13" s="1">
        <f t="shared" si="2"/>
        <v>1989</v>
      </c>
      <c r="B13" s="10">
        <f>grossprod!C31</f>
        <v>1905.1141</v>
      </c>
      <c r="C13" s="3">
        <f>grossprod!C13</f>
        <v>959.7857999999999</v>
      </c>
      <c r="D13" s="3">
        <f>grossprod!B13</f>
        <v>706.8761999999999</v>
      </c>
      <c r="E13" s="10">
        <f t="shared" si="0"/>
        <v>238.4521000000002</v>
      </c>
      <c r="F13" s="10">
        <v>5953</v>
      </c>
      <c r="G13" s="12">
        <f t="shared" si="1"/>
        <v>0.040055786998152224</v>
      </c>
      <c r="J13" s="18"/>
    </row>
    <row r="14" spans="1:10" ht="12.75">
      <c r="A14" s="1">
        <f t="shared" si="2"/>
        <v>1990</v>
      </c>
      <c r="B14" s="10">
        <f>grossprod!C32</f>
        <v>2120.5776</v>
      </c>
      <c r="C14" s="3">
        <f>grossprod!C14</f>
        <v>1085.3388</v>
      </c>
      <c r="D14" s="3">
        <f>grossprod!B14</f>
        <v>780.6352</v>
      </c>
      <c r="E14" s="10">
        <f t="shared" si="0"/>
        <v>254.60360000000003</v>
      </c>
      <c r="F14" s="10">
        <v>6385</v>
      </c>
      <c r="G14" s="12">
        <f t="shared" si="1"/>
        <v>0.03987527016444793</v>
      </c>
      <c r="J14" s="18"/>
    </row>
    <row r="15" spans="1:10" ht="12.75">
      <c r="A15" s="1">
        <f t="shared" si="2"/>
        <v>1991</v>
      </c>
      <c r="B15" s="10">
        <f>grossprod!C33</f>
        <v>2342.6629000000003</v>
      </c>
      <c r="C15" s="3">
        <f>grossprod!C15</f>
        <v>1213.4402</v>
      </c>
      <c r="D15" s="3">
        <f>grossprod!B15</f>
        <v>855.7898</v>
      </c>
      <c r="E15" s="10">
        <f t="shared" si="0"/>
        <v>273.43290000000025</v>
      </c>
      <c r="F15" s="10">
        <v>7164</v>
      </c>
      <c r="G15" s="12">
        <f t="shared" si="1"/>
        <v>0.03816762981574543</v>
      </c>
      <c r="J15" s="18"/>
    </row>
    <row r="16" spans="1:10" ht="12.75">
      <c r="A16" s="1">
        <f t="shared" si="2"/>
        <v>1992</v>
      </c>
      <c r="B16" s="10">
        <f>grossprod!C34</f>
        <v>2571.37</v>
      </c>
      <c r="C16" s="3">
        <f>grossprod!C16</f>
        <v>1344.0900000000001</v>
      </c>
      <c r="D16" s="3">
        <f>grossprod!B16</f>
        <v>932.34</v>
      </c>
      <c r="E16" s="10">
        <f t="shared" si="0"/>
        <v>294.9399999999997</v>
      </c>
      <c r="F16" s="10">
        <v>7309</v>
      </c>
      <c r="G16" s="12">
        <f t="shared" si="1"/>
        <v>0.04035298946504306</v>
      </c>
      <c r="J16" s="18"/>
    </row>
    <row r="17" spans="1:10" ht="12.75">
      <c r="A17" s="1">
        <f t="shared" si="2"/>
        <v>1993</v>
      </c>
      <c r="B17" s="10">
        <f>grossprod!C35</f>
        <v>2806.6989000000003</v>
      </c>
      <c r="C17" s="3">
        <f>grossprod!C17</f>
        <v>1477.2882</v>
      </c>
      <c r="D17" s="3">
        <f>grossprod!B17</f>
        <v>1010.2858</v>
      </c>
      <c r="E17" s="10">
        <f t="shared" si="0"/>
        <v>319.12490000000037</v>
      </c>
      <c r="F17" s="10">
        <v>7519</v>
      </c>
      <c r="G17" s="12">
        <f t="shared" si="1"/>
        <v>0.0424424657534247</v>
      </c>
      <c r="J17" s="18"/>
    </row>
    <row r="18" spans="1:10" ht="12.75">
      <c r="A18" s="1">
        <f t="shared" si="2"/>
        <v>1994</v>
      </c>
      <c r="B18" s="10">
        <f>grossprod!C36</f>
        <v>3048.6495999999997</v>
      </c>
      <c r="C18" s="3">
        <f>grossprod!C18</f>
        <v>1613.0348</v>
      </c>
      <c r="D18" s="3">
        <f>grossprod!B18</f>
        <v>1089.6272</v>
      </c>
      <c r="E18" s="10">
        <f t="shared" si="0"/>
        <v>345.98759999999993</v>
      </c>
      <c r="F18" s="10">
        <v>7647</v>
      </c>
      <c r="G18" s="12">
        <f t="shared" si="1"/>
        <v>0.04524488034523341</v>
      </c>
      <c r="J18" s="18"/>
    </row>
    <row r="19" spans="1:10" ht="12.75">
      <c r="A19" s="1">
        <f t="shared" si="2"/>
        <v>1995</v>
      </c>
      <c r="B19" s="10">
        <f>grossprod!C37</f>
        <v>3297.2221</v>
      </c>
      <c r="C19" s="3">
        <f>grossprod!C19</f>
        <v>1751.3298</v>
      </c>
      <c r="D19" s="3">
        <f>grossprod!B19</f>
        <v>1170.3642</v>
      </c>
      <c r="E19" s="10">
        <f t="shared" si="0"/>
        <v>375.5281</v>
      </c>
      <c r="F19" s="10">
        <v>7965</v>
      </c>
      <c r="G19" s="12">
        <f t="shared" si="1"/>
        <v>0.04714728185812932</v>
      </c>
      <c r="J19" s="18"/>
    </row>
    <row r="22" ht="14.25">
      <c r="A22" s="16" t="s">
        <v>46</v>
      </c>
    </row>
    <row r="23" spans="1:7" ht="12.75">
      <c r="A23" s="13" t="s">
        <v>1</v>
      </c>
      <c r="B23" s="13" t="s">
        <v>44</v>
      </c>
      <c r="C23" s="13" t="s">
        <v>44</v>
      </c>
      <c r="D23" s="13" t="s">
        <v>49</v>
      </c>
      <c r="E23" s="21" t="s">
        <v>50</v>
      </c>
      <c r="F23" s="22"/>
      <c r="G23" s="23"/>
    </row>
    <row r="24" spans="1:7" ht="12.75">
      <c r="A24" s="14" t="s">
        <v>0</v>
      </c>
      <c r="B24" s="14" t="s">
        <v>48</v>
      </c>
      <c r="C24" s="14" t="s">
        <v>45</v>
      </c>
      <c r="D24" s="14" t="s">
        <v>47</v>
      </c>
      <c r="E24" s="14" t="s">
        <v>53</v>
      </c>
      <c r="F24" s="14" t="s">
        <v>52</v>
      </c>
      <c r="G24" s="14" t="s">
        <v>51</v>
      </c>
    </row>
    <row r="25" spans="1:7" ht="12.75">
      <c r="A25" s="1">
        <v>1983</v>
      </c>
      <c r="B25" s="10">
        <f>B7</f>
        <v>751.3909</v>
      </c>
      <c r="C25" s="10">
        <f>C7+D7</f>
        <v>553.614</v>
      </c>
      <c r="D25" s="1">
        <v>11804</v>
      </c>
      <c r="E25" s="2">
        <f>B25/D25</f>
        <v>0.0636556167400881</v>
      </c>
      <c r="F25" s="2">
        <f>C25/D25</f>
        <v>0.04690054218908845</v>
      </c>
      <c r="G25" s="17">
        <f>E25/F25</f>
        <v>1.357246926558938</v>
      </c>
    </row>
    <row r="26" spans="1:7" ht="12.75">
      <c r="A26" s="1">
        <f>A25+1</f>
        <v>1984</v>
      </c>
      <c r="B26" s="10">
        <f aca="true" t="shared" si="3" ref="B26:B37">B8</f>
        <v>927.1236</v>
      </c>
      <c r="C26" s="10">
        <f aca="true" t="shared" si="4" ref="C26:C37">C8+D8</f>
        <v>729.262</v>
      </c>
      <c r="D26" s="1">
        <v>12295</v>
      </c>
      <c r="E26" s="2">
        <f aca="true" t="shared" si="5" ref="E26:E37">B26/D26</f>
        <v>0.07540655551037007</v>
      </c>
      <c r="F26" s="2">
        <f aca="true" t="shared" si="6" ref="F26:F37">C26/D26</f>
        <v>0.059313704758031716</v>
      </c>
      <c r="G26" s="17">
        <f aca="true" t="shared" si="7" ref="G26:G37">E26/F26</f>
        <v>1.2713175785931532</v>
      </c>
    </row>
    <row r="27" spans="1:7" ht="12.75">
      <c r="A27" s="1">
        <f aca="true" t="shared" si="8" ref="A27:A37">A26+1</f>
        <v>1985</v>
      </c>
      <c r="B27" s="10">
        <f t="shared" si="3"/>
        <v>1109.4781</v>
      </c>
      <c r="C27" s="10">
        <f t="shared" si="4"/>
        <v>908.854</v>
      </c>
      <c r="D27" s="1">
        <v>12837</v>
      </c>
      <c r="E27" s="2">
        <f t="shared" si="5"/>
        <v>0.08642814520526602</v>
      </c>
      <c r="F27" s="2">
        <f t="shared" si="6"/>
        <v>0.07079956376100335</v>
      </c>
      <c r="G27" s="17">
        <f t="shared" si="7"/>
        <v>1.2207440358957544</v>
      </c>
    </row>
    <row r="28" spans="1:7" ht="12.75">
      <c r="A28" s="1">
        <f t="shared" si="8"/>
        <v>1986</v>
      </c>
      <c r="B28" s="10">
        <f t="shared" si="3"/>
        <v>1298.4544</v>
      </c>
      <c r="C28" s="10">
        <f t="shared" si="4"/>
        <v>1092.3899999999999</v>
      </c>
      <c r="D28" s="1">
        <v>13429</v>
      </c>
      <c r="E28" s="2">
        <f t="shared" si="5"/>
        <v>0.0966903269044605</v>
      </c>
      <c r="F28" s="2">
        <f t="shared" si="6"/>
        <v>0.08134559535333978</v>
      </c>
      <c r="G28" s="17">
        <f t="shared" si="7"/>
        <v>1.1886362928990564</v>
      </c>
    </row>
    <row r="29" spans="1:7" ht="12.75">
      <c r="A29" s="1">
        <f t="shared" si="8"/>
        <v>1987</v>
      </c>
      <c r="B29" s="10">
        <f t="shared" si="3"/>
        <v>1494.0525</v>
      </c>
      <c r="C29" s="10">
        <f t="shared" si="4"/>
        <v>1279.8700000000001</v>
      </c>
      <c r="D29" s="1">
        <v>14072</v>
      </c>
      <c r="E29" s="2">
        <f t="shared" si="5"/>
        <v>0.10617200824332007</v>
      </c>
      <c r="F29" s="2">
        <f t="shared" si="6"/>
        <v>0.0909515349630472</v>
      </c>
      <c r="G29" s="17">
        <f t="shared" si="7"/>
        <v>1.1673470743122347</v>
      </c>
    </row>
    <row r="30" spans="1:7" ht="12.75">
      <c r="A30" s="1">
        <f t="shared" si="8"/>
        <v>1988</v>
      </c>
      <c r="B30" s="10">
        <f t="shared" si="3"/>
        <v>1696.2724</v>
      </c>
      <c r="C30" s="10">
        <f t="shared" si="4"/>
        <v>1471.2939999999999</v>
      </c>
      <c r="D30" s="1">
        <v>14764</v>
      </c>
      <c r="E30" s="2">
        <f t="shared" si="5"/>
        <v>0.11489246816580873</v>
      </c>
      <c r="F30" s="2">
        <f t="shared" si="6"/>
        <v>0.09965415876456243</v>
      </c>
      <c r="G30" s="17">
        <f t="shared" si="7"/>
        <v>1.1529119265082304</v>
      </c>
    </row>
    <row r="31" spans="1:7" ht="12.75">
      <c r="A31" s="1">
        <f t="shared" si="8"/>
        <v>1989</v>
      </c>
      <c r="B31" s="10">
        <f t="shared" si="3"/>
        <v>1905.1141</v>
      </c>
      <c r="C31" s="10">
        <f t="shared" si="4"/>
        <v>1666.6619999999998</v>
      </c>
      <c r="D31" s="1">
        <v>15507</v>
      </c>
      <c r="E31" s="2">
        <f t="shared" si="5"/>
        <v>0.12285510414651447</v>
      </c>
      <c r="F31" s="2">
        <f t="shared" si="6"/>
        <v>0.10747804217450183</v>
      </c>
      <c r="G31" s="17">
        <f t="shared" si="7"/>
        <v>1.1430716606006497</v>
      </c>
    </row>
    <row r="32" spans="1:7" ht="12.75">
      <c r="A32" s="1">
        <f t="shared" si="8"/>
        <v>1990</v>
      </c>
      <c r="B32" s="10">
        <f t="shared" si="3"/>
        <v>2120.5776</v>
      </c>
      <c r="C32" s="10">
        <f t="shared" si="4"/>
        <v>1865.9740000000002</v>
      </c>
      <c r="D32" s="1">
        <v>16301</v>
      </c>
      <c r="E32" s="2">
        <f t="shared" si="5"/>
        <v>0.13008880436783019</v>
      </c>
      <c r="F32" s="2">
        <f t="shared" si="6"/>
        <v>0.11446990982148335</v>
      </c>
      <c r="G32" s="17">
        <f t="shared" si="7"/>
        <v>1.1364454167099862</v>
      </c>
    </row>
    <row r="33" spans="1:7" ht="12.75">
      <c r="A33" s="1">
        <f t="shared" si="8"/>
        <v>1991</v>
      </c>
      <c r="B33" s="10">
        <f t="shared" si="3"/>
        <v>2342.6629000000003</v>
      </c>
      <c r="C33" s="10">
        <f t="shared" si="4"/>
        <v>2069.23</v>
      </c>
      <c r="D33" s="1">
        <v>17144</v>
      </c>
      <c r="E33" s="2">
        <f t="shared" si="5"/>
        <v>0.13664622608492769</v>
      </c>
      <c r="F33" s="2">
        <f t="shared" si="6"/>
        <v>0.12069703686420906</v>
      </c>
      <c r="G33" s="17">
        <f t="shared" si="7"/>
        <v>1.132142342803845</v>
      </c>
    </row>
    <row r="34" spans="1:7" ht="12.75">
      <c r="A34" s="1">
        <f t="shared" si="8"/>
        <v>1992</v>
      </c>
      <c r="B34" s="10">
        <f t="shared" si="3"/>
        <v>2571.37</v>
      </c>
      <c r="C34" s="10">
        <f t="shared" si="4"/>
        <v>2276.4300000000003</v>
      </c>
      <c r="D34" s="1">
        <v>18038</v>
      </c>
      <c r="E34" s="2">
        <f t="shared" si="5"/>
        <v>0.14255294378534206</v>
      </c>
      <c r="F34" s="2">
        <f t="shared" si="6"/>
        <v>0.1262019070850427</v>
      </c>
      <c r="G34" s="17">
        <f t="shared" si="7"/>
        <v>1.1295625167477146</v>
      </c>
    </row>
    <row r="35" spans="1:7" ht="12.75">
      <c r="A35" s="1">
        <f t="shared" si="8"/>
        <v>1993</v>
      </c>
      <c r="B35" s="10">
        <f t="shared" si="3"/>
        <v>2806.6989000000003</v>
      </c>
      <c r="C35" s="10">
        <f t="shared" si="4"/>
        <v>2487.574</v>
      </c>
      <c r="D35" s="1">
        <v>18982</v>
      </c>
      <c r="E35" s="2">
        <f t="shared" si="5"/>
        <v>0.14786107364871987</v>
      </c>
      <c r="F35" s="2">
        <f t="shared" si="6"/>
        <v>0.1310490991465599</v>
      </c>
      <c r="G35" s="17">
        <f t="shared" si="7"/>
        <v>1.128287600690472</v>
      </c>
    </row>
    <row r="36" spans="1:7" ht="12.75">
      <c r="A36" s="1">
        <f t="shared" si="8"/>
        <v>1994</v>
      </c>
      <c r="B36" s="10">
        <f t="shared" si="3"/>
        <v>3048.6495999999997</v>
      </c>
      <c r="C36" s="10">
        <f t="shared" si="4"/>
        <v>2702.662</v>
      </c>
      <c r="D36" s="1">
        <v>19976</v>
      </c>
      <c r="E36" s="2">
        <f t="shared" si="5"/>
        <v>0.15261561874249097</v>
      </c>
      <c r="F36" s="2">
        <f t="shared" si="6"/>
        <v>0.13529545454545452</v>
      </c>
      <c r="G36" s="17">
        <f t="shared" si="7"/>
        <v>1.1280173399411395</v>
      </c>
    </row>
    <row r="37" spans="1:7" ht="12.75">
      <c r="A37" s="1">
        <f t="shared" si="8"/>
        <v>1995</v>
      </c>
      <c r="B37" s="10">
        <f t="shared" si="3"/>
        <v>3297.2221</v>
      </c>
      <c r="C37" s="10">
        <f t="shared" si="4"/>
        <v>2921.694</v>
      </c>
      <c r="D37" s="1">
        <v>21021</v>
      </c>
      <c r="E37" s="2">
        <f t="shared" si="5"/>
        <v>0.1568537224680082</v>
      </c>
      <c r="F37" s="2">
        <f t="shared" si="6"/>
        <v>0.13898929641786784</v>
      </c>
      <c r="G37" s="17">
        <f t="shared" si="7"/>
        <v>1.128530948141729</v>
      </c>
    </row>
  </sheetData>
  <mergeCells count="3">
    <mergeCell ref="E23:G23"/>
    <mergeCell ref="A1:G1"/>
    <mergeCell ref="A2:G2"/>
  </mergeCells>
  <printOptions horizontalCentered="1" verticalCentered="1"/>
  <pageMargins left="1.1811023622047245" right="1.1811023622047245" top="1.1811023622047245" bottom="1.1811023622047245" header="0.7086614173228347" footer="0.7086614173228347"/>
  <pageSetup fitToHeight="1" fitToWidth="1" horizontalDpi="300" verticalDpi="300" orientation="portrait" paperSize="9" r:id="rId1"/>
  <headerFooter alignWithMargins="0">
    <oddHeader>&amp;R&amp;"Arial,Grassetto"&amp;12ANNEX 6</oddHeader>
    <oddFooter>&amp;L&amp;8&amp;F/&amp;A&amp;R&amp;8&amp;D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Giovanni Repici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Repici</dc:creator>
  <cp:keywords/>
  <dc:description/>
  <cp:lastModifiedBy>Giovanni Repici</cp:lastModifiedBy>
  <cp:lastPrinted>2001-09-12T16:02:21Z</cp:lastPrinted>
  <dcterms:created xsi:type="dcterms:W3CDTF">2000-07-24T12:04:26Z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